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949" activeTab="5"/>
  </bookViews>
  <sheets>
    <sheet name="Encarregado - OP" sheetId="26" r:id="rId1"/>
    <sheet name="Servente-op-periculosidade" sheetId="29" r:id="rId2"/>
    <sheet name="Servente - op" sheetId="2" r:id="rId3"/>
    <sheet name="Servente-op-insal. - Grau Médio" sheetId="19" r:id="rId4"/>
    <sheet name="Servente-op-insal. - Grau Máx." sheetId="20" r:id="rId5"/>
    <sheet name="Encarregado - MA" sheetId="27" r:id="rId6"/>
    <sheet name="Servente - Mariana" sheetId="21" r:id="rId7"/>
    <sheet name="Servente-MA-Insa-Máximo" sheetId="22" r:id="rId8"/>
    <sheet name="Encarregado- João Monlevade" sheetId="28" r:id="rId9"/>
    <sheet name="Servente - João Monlevade" sheetId="23" r:id="rId10"/>
    <sheet name="Servente - JM- Insa. Grau Máxi" sheetId="24" r:id="rId11"/>
    <sheet name="Servente - BH - Insa - Grau Máx" sheetId="25" r:id="rId12"/>
    <sheet name="complemento serviços limpeza" sheetId="18" r:id="rId13"/>
    <sheet name="Limpeza valores LIMITES SEGES" sheetId="30" r:id="rId14"/>
  </sheets>
  <definedNames>
    <definedName name="_xlnm.Print_Area" localSheetId="12">'complemento serviços limpeza'!$A$1:$K$85</definedName>
    <definedName name="_xlnm.Print_Area" localSheetId="5">'Encarregado - MA'!$A$1:$E$119</definedName>
    <definedName name="_xlnm.Print_Area" localSheetId="0">'Encarregado - OP'!$A$1:$E$121</definedName>
    <definedName name="_xlnm.Print_Area" localSheetId="8">'Encarregado- João Monlevade'!$A$1:$E$119</definedName>
    <definedName name="_xlnm.Print_Area" localSheetId="13">'Limpeza valores LIMITES SEGES'!$A$1:$H$85</definedName>
    <definedName name="_xlnm.Print_Area" localSheetId="11">'Servente - BH - Insa - Grau Máx'!$A$1:$E$119</definedName>
    <definedName name="_xlnm.Print_Area" localSheetId="10">'Servente - JM- Insa. Grau Máxi'!$A$1:$E$119</definedName>
    <definedName name="_xlnm.Print_Area" localSheetId="9">'Servente - João Monlevade'!$A$1:$E$119</definedName>
    <definedName name="_xlnm.Print_Area" localSheetId="6">'Servente - Mariana'!$A$1:$E$119</definedName>
    <definedName name="_xlnm.Print_Area" localSheetId="2">'Servente - op'!$A$1:$E$119</definedName>
    <definedName name="_xlnm.Print_Area" localSheetId="7">'Servente-MA-Insa-Máximo'!$A$1:$E$119</definedName>
    <definedName name="_xlnm.Print_Area" localSheetId="4">'Servente-op-insal. - Grau Máx.'!$A$1:$E$119</definedName>
    <definedName name="_xlnm.Print_Area" localSheetId="3">'Servente-op-insal. - Grau Médio'!$A$1:$E$119</definedName>
    <definedName name="_xlnm.Print_Area" localSheetId="1">'Servente-op-periculosidade'!$A$1:$E$119</definedName>
  </definedNames>
  <calcPr calcId="144525"/>
</workbook>
</file>

<file path=xl/sharedStrings.xml><?xml version="1.0" encoding="utf-8"?>
<sst xmlns="http://schemas.openxmlformats.org/spreadsheetml/2006/main" count="190">
  <si>
    <t>Anexo IV - planilha de formação de custos e preços  para obtenção dos preços de referencia</t>
  </si>
  <si>
    <t>PLANILHA DE CUSTOS E FORMAÇÃO DE PREÇOS</t>
  </si>
  <si>
    <t>Nº do Processo:</t>
  </si>
  <si>
    <t>Modalidade da Licitação:</t>
  </si>
  <si>
    <t>Licitação Nº:</t>
  </si>
  <si>
    <t>DISCRIMINAÇÃO DOS SERVIÇOS</t>
  </si>
  <si>
    <t>A</t>
  </si>
  <si>
    <t>Data de apresentação da proposta (dia/mês/ano)</t>
  </si>
  <si>
    <t>08.03.2019</t>
  </si>
  <si>
    <t>B</t>
  </si>
  <si>
    <t xml:space="preserve"> Município/UF</t>
  </si>
  <si>
    <t>Ouro Preto</t>
  </si>
  <si>
    <t>C</t>
  </si>
  <si>
    <t>Ano do Acordo, Convenção ou Dissídio Coletivo</t>
  </si>
  <si>
    <t>D</t>
  </si>
  <si>
    <t>Registro do Acordo, Convenção ou Dissídio Coletivo</t>
  </si>
  <si>
    <t xml:space="preserve">MG000417/2019 </t>
  </si>
  <si>
    <t>E</t>
  </si>
  <si>
    <t>Número de meses de execução contratual</t>
  </si>
  <si>
    <t>F</t>
  </si>
  <si>
    <t>Salário mínimo vigente</t>
  </si>
  <si>
    <t>G</t>
  </si>
  <si>
    <t>Data base da categoria</t>
  </si>
  <si>
    <t>01.01.2019</t>
  </si>
  <si>
    <t>IDENTIFICAÇÃO DO SERVIÇO</t>
  </si>
  <si>
    <t>Tipo de Serviço</t>
  </si>
  <si>
    <t>Unidade de Medida</t>
  </si>
  <si>
    <t>Quantidade total a contratar</t>
  </si>
  <si>
    <t xml:space="preserve">Encarregado - 44 horas semanais </t>
  </si>
  <si>
    <t>Posto de trabalho</t>
  </si>
  <si>
    <t>Preço Trabalhador</t>
  </si>
  <si>
    <t xml:space="preserve">Salário mínimo local  para porteiro previsto na CCT MG000417/2019 </t>
  </si>
  <si>
    <t>Módulo 1 - Composição da Remuneração</t>
  </si>
  <si>
    <t>Composição da Remuneração</t>
  </si>
  <si>
    <t>Valor (R$)</t>
  </si>
  <si>
    <t>Critério para repactuação</t>
  </si>
  <si>
    <t>Salário-Base</t>
  </si>
  <si>
    <t>CCT</t>
  </si>
  <si>
    <t>Adicional de Periculosidade</t>
  </si>
  <si>
    <t>-</t>
  </si>
  <si>
    <t>Adicional de Insalubridade</t>
  </si>
  <si>
    <t>Adicional Noturno</t>
  </si>
  <si>
    <t>Adicional de Hora Noturna Reduzida</t>
  </si>
  <si>
    <t xml:space="preserve">Prorrogação do Adicional Noturno </t>
  </si>
  <si>
    <t>Total</t>
  </si>
  <si>
    <t>Módulo 2 - Encargos e Benefícios Anuais, Mensais e Diários</t>
  </si>
  <si>
    <t>Submódulo 2.1 - 13º (décimo terceiro) Salário e Adicional de Férias</t>
  </si>
  <si>
    <t>2.1</t>
  </si>
  <si>
    <t>13º (décimo terceiro) Salário e Adicional de Férias</t>
  </si>
  <si>
    <t>Percentual (%)</t>
  </si>
  <si>
    <t>13º (décimo terceiro) Salário</t>
  </si>
  <si>
    <t>Adicional de Férias</t>
  </si>
  <si>
    <t xml:space="preserve">Subtotal </t>
  </si>
  <si>
    <t>Incidência do Submódulo 2.2 sobre 13º (décimo terceiro) salário e adicional de férias</t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</si>
  <si>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</si>
  <si>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</si>
  <si>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</si>
  <si>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</si>
  <si>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Salário Educação</t>
  </si>
  <si>
    <t>SESC ou SESI</t>
  </si>
  <si>
    <t>SENAI - SENAC</t>
  </si>
  <si>
    <t>SEBRAE</t>
  </si>
  <si>
    <t>INCRA</t>
  </si>
  <si>
    <t>FGTS</t>
  </si>
  <si>
    <t>H</t>
  </si>
  <si>
    <t>SAT</t>
  </si>
  <si>
    <t xml:space="preserve">Total </t>
  </si>
  <si>
    <t>Submódulo 2.3 - Benefícios Mensais e Diários</t>
  </si>
  <si>
    <t>2.3</t>
  </si>
  <si>
    <t>Benefícios Mensais e Diários</t>
  </si>
  <si>
    <t>Referência (R$)</t>
  </si>
  <si>
    <t>Vale Transporte</t>
  </si>
  <si>
    <t>Decreto Municipal</t>
  </si>
  <si>
    <t>Desconto legal sobre transporte (máximo 6% do salário-base)</t>
  </si>
  <si>
    <t>Auxílio-Refeição/Alimentação</t>
  </si>
  <si>
    <t>Desconto Auxílio-Refeição/Alimentação</t>
  </si>
  <si>
    <t>Programa de Assistência Familiar (PAF)</t>
  </si>
  <si>
    <t>Seguro  Vida Invalidez Funeral (Estudo FIA percentual 0,0333%)</t>
  </si>
  <si>
    <t>Outros (especificar)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</si>
  <si>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</si>
  <si>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</si>
  <si>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</si>
  <si>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</si>
  <si>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 (havendo renovação este custo manterá apenas 10% do valor da proposta da licitação)</t>
  </si>
  <si>
    <t>Incidência do FGTS sobre o Aviso Prévio Indenizado (havendo renovação este custo manterá apenas 10% do valor da proposta da licitação)</t>
  </si>
  <si>
    <t xml:space="preserve">Multa do FGTS e contribuição social sobre o Aviso Prévio Indenizado </t>
  </si>
  <si>
    <t>Aviso Prévio Trabalhado  (custo não renovável)</t>
  </si>
  <si>
    <t>Incidência dos encargos do submódulo 2.2 sobre o Aviso Prévio Trabalhado (custo não renovável)</t>
  </si>
  <si>
    <t xml:space="preserve">Multa do FGTS e contribuição social sobre o Aviso Prévio Trabalhado 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</si>
  <si>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</si>
  <si>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</si>
  <si>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</si>
  <si>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</si>
  <si>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</si>
  <si>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</si>
  <si>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</si>
  <si>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</si>
  <si>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 xml:space="preserve">Outros - </t>
  </si>
  <si>
    <t>Subtotal (soma item 4.1 A  4.1.F)</t>
  </si>
  <si>
    <t>Incidência do Submódulo 2.1 sobre o Custo de Reposição do Profissional Ausente</t>
  </si>
  <si>
    <t>Incidência do Submódulo 2.2 sobre o Custo de Reposição do Profissional Ausente</t>
  </si>
  <si>
    <t>I</t>
  </si>
  <si>
    <t>Incidência do Módulo 3 sobre o Custo de Reposição do Profissional Ausente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</si>
  <si>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</si>
  <si>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</si>
  <si>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</si>
  <si>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</si>
  <si>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</si>
  <si>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</si>
  <si>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</si>
  <si>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</si>
  <si>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</si>
  <si>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IPCA</t>
  </si>
  <si>
    <t xml:space="preserve">Materiais e Equipamentos </t>
  </si>
  <si>
    <t>Módulo 6 - Custos Indiretos, Tributos e Lucro</t>
  </si>
  <si>
    <t>Custos Indiretos, Tributos e Lucro</t>
  </si>
  <si>
    <t>Custos Indiretos (ESTUDO FIA- COMPRAS GOVERNAMENTAIS)</t>
  </si>
  <si>
    <t>irreajustável</t>
  </si>
  <si>
    <t>Lucro - (ESTUDO FIA- COMPRAS GOVERNAMENTAIS)</t>
  </si>
  <si>
    <t>Tributos - (RESUMO)</t>
  </si>
  <si>
    <t>C.1. Tributos Federais (PIS (1,65%) - COFINS (7,6%) - ESTIMADO BASE LUCRO REAL)</t>
  </si>
  <si>
    <t>C.2. Tributos Estaduais (especificar)</t>
  </si>
  <si>
    <t>C.3. Tributos Municipais (ISSQN)</t>
  </si>
  <si>
    <t>ÍNDICE PARA CALCULO DOS TRIBUTOS =(1-Tributos)</t>
  </si>
  <si>
    <t>BASE CÁLCULO TRIBUTOS = (Custos Indiretos + Lucro+ Subtotal  CUSTOS POR EMPREGADO)</t>
  </si>
  <si>
    <t>2. QUADRO-RESUMO DO CUSTO POR EMPREGADO</t>
  </si>
  <si>
    <t>Mão de obra vinculada à execução contratual (valor por empregado)</t>
  </si>
  <si>
    <t>Subtotal custos por empregado (A + B +C+ D+E)</t>
  </si>
  <si>
    <t>Módulo 6 – Custos Indiretos, Tributos e Lucro</t>
  </si>
  <si>
    <t xml:space="preserve">Valor Total por Empregado </t>
  </si>
  <si>
    <t>Servente - 44 horas semanais Periculosidade - Almoxarifado Central</t>
  </si>
  <si>
    <t>Decreto Salário Mínimo</t>
  </si>
  <si>
    <t xml:space="preserve">Servente - 44 horas semanais </t>
  </si>
  <si>
    <t>Servente - 44 horas semanais Com Insalubridade Grau Médio</t>
  </si>
  <si>
    <t>Servente - 44 horas semanais Com Insalubridade Grau Máximo- Banheiros Públicos</t>
  </si>
  <si>
    <t>Mariana</t>
  </si>
  <si>
    <t>MARIANA</t>
  </si>
  <si>
    <t>Subtotal (soma item 4.1 A a 4.1.F)</t>
  </si>
  <si>
    <t>João Monlevade</t>
  </si>
  <si>
    <t xml:space="preserve">MG000598/2019 </t>
  </si>
  <si>
    <t xml:space="preserve">Encarregado- 44 horas semanais </t>
  </si>
  <si>
    <t xml:space="preserve">Salário mínimo local  para porteiro previsto na CCT MG000598/2019 </t>
  </si>
  <si>
    <t>Belo Horizonte</t>
  </si>
  <si>
    <t>MG000034/2019</t>
  </si>
  <si>
    <t xml:space="preserve">Servente - 44 horas semanais Com Insalubridade Grau Máximo- Limpeza Banheiros Públicos, demais áreas internas e externas </t>
  </si>
  <si>
    <t>Salário mínimo local  para porteiro previsto na CCT MG000034/2019</t>
  </si>
  <si>
    <t>UNIVERSIDADE FEDERAL DE OURO PRETO - UFOP  - PREÇO MENSAL UNITÁRIO POR M² (metro quadrado) - Estimativa UFOP</t>
  </si>
  <si>
    <t>Descrição</t>
  </si>
  <si>
    <t>ÁREA (M²)</t>
  </si>
  <si>
    <t>Produtividade Diária</t>
  </si>
  <si>
    <t>Relação servente/encarregado</t>
  </si>
  <si>
    <t>MÃO DE OBRA</t>
  </si>
  <si>
    <t xml:space="preserve">PRODUTIVIDADE (1/M²) </t>
  </si>
  <si>
    <t>PREÇO HOMEM / MÊS (R$)</t>
  </si>
  <si>
    <t>SUBTOTAL (R$/M²)</t>
  </si>
  <si>
    <t>PREÇO MENSAL UNITÁRIO (R$/ M²)</t>
  </si>
  <si>
    <t>Total Mensal dos Serviços por tipo de Área</t>
  </si>
  <si>
    <t>Área Campus Morro do Cruzeiro - Ouro Preto</t>
  </si>
  <si>
    <t>Áreas Internas</t>
  </si>
  <si>
    <t>Pisos acarpetados</t>
  </si>
  <si>
    <t>Encarregado</t>
  </si>
  <si>
    <t>servente</t>
  </si>
  <si>
    <t>Pisos frios</t>
  </si>
  <si>
    <t>Laboratórios</t>
  </si>
  <si>
    <t>Almoxarifados / galpões (Almoxarifado Central)</t>
  </si>
  <si>
    <t>Almoxarifados / galpões</t>
  </si>
  <si>
    <t>Oficinas</t>
  </si>
  <si>
    <t>Áreas com espaços livres  -  saguão, hall e salão</t>
  </si>
  <si>
    <t>Banheiros</t>
  </si>
  <si>
    <t>Áreas Externas</t>
  </si>
  <si>
    <t>Pisos pavimentados adjacentes / contíguos às edificações</t>
  </si>
  <si>
    <t>Áreas Hospitalares/assemelhadas</t>
  </si>
  <si>
    <t>Ambientes cirúrgicos</t>
  </si>
  <si>
    <t>Ambulatórios</t>
  </si>
  <si>
    <t>Enfermarias</t>
  </si>
  <si>
    <t>Farmácias</t>
  </si>
  <si>
    <t>Área Campus Centro Histórico</t>
  </si>
  <si>
    <t>Área Campi ICHS e ICSA - Mariana</t>
  </si>
  <si>
    <t>Área Campus ICEA - João Monlevade</t>
  </si>
  <si>
    <t>Área Escritório BH</t>
  </si>
  <si>
    <t>Não se aplica área  total do escritório de Belo Horizonte inferior a produtividade mínima para 1 servente</t>
  </si>
  <si>
    <t>Área Campus Morro do Cruzeiro - Ouro Preto - Limpeza de Veículos</t>
  </si>
  <si>
    <t xml:space="preserve">Total da contratação mensal </t>
  </si>
  <si>
    <t>Total da contratação para 12 meses</t>
  </si>
  <si>
    <t>UNIVERSIDADE FEDERAL DE OURO PRETO - UFOP  - PREÇO MENSAL UNITÁRIO POR M² (metro quadrado) - Referência valores mínimos e máximos estabelecidos pelo MPDG</t>
  </si>
  <si>
    <t>Produtividade</t>
  </si>
  <si>
    <t>Valor mínimo SEGES (adaptado quando não disponível o preço com a devida produtividade)</t>
  </si>
  <si>
    <t>Valor máximo SEGES (adaptado quando não disponível o preço com a devida produtividade)</t>
  </si>
  <si>
    <t>Toa tal Mensal Mínimo</t>
  </si>
  <si>
    <t>Total Mensal Máximo</t>
  </si>
</sst>
</file>

<file path=xl/styles.xml><?xml version="1.0" encoding="utf-8"?>
<styleSheet xmlns="http://schemas.openxmlformats.org/spreadsheetml/2006/main">
  <numFmts count="18">
    <numFmt numFmtId="176" formatCode="0.0000"/>
    <numFmt numFmtId="177" formatCode="_-* #,##0.0000000_-;\-* #,##0.0000000_-;_-* \-??_-;_-@_-"/>
    <numFmt numFmtId="178" formatCode="0.000%"/>
    <numFmt numFmtId="179" formatCode="_-* #,##0.00_-;\-* #,##0.00_-;_-* \-??_-;_-@_-"/>
    <numFmt numFmtId="180" formatCode="_-&quot;R$&quot;* #,##0_-;\-&quot;R$&quot;* #,##0_-;_-&quot;R$&quot;* &quot;-&quot;_-;_-@_-"/>
    <numFmt numFmtId="181" formatCode="_-* #,##0.00_-;\-* #,##0.00_-;_-* &quot;-&quot;??_-;_-@_-"/>
    <numFmt numFmtId="182" formatCode="_-&quot;R$&quot;* #,##0.00_-;\-&quot;R$&quot;* #,##0.00_-;_-&quot;R$&quot;* &quot;-&quot;??_-;_-@_-"/>
    <numFmt numFmtId="183" formatCode="_-* #,##0_-;\-* #,##0_-;_-* &quot;-&quot;_-;_-@_-"/>
    <numFmt numFmtId="184" formatCode="&quot;R$ &quot;#,##0.00"/>
    <numFmt numFmtId="185" formatCode="0.00000%"/>
    <numFmt numFmtId="186" formatCode="&quot;R$ &quot;#,##0.00;&quot;-R$ &quot;#,##0.00"/>
    <numFmt numFmtId="187" formatCode="&quot;R$ &quot;#,##0.00;[Red]&quot;-R$ &quot;#,##0.00"/>
    <numFmt numFmtId="188" formatCode="0.000"/>
    <numFmt numFmtId="189" formatCode="0.0000%"/>
    <numFmt numFmtId="190" formatCode="0.000000%"/>
    <numFmt numFmtId="191" formatCode="0.00000000"/>
    <numFmt numFmtId="192" formatCode="0.00000"/>
    <numFmt numFmtId="193" formatCode="_-* #,##0.000_-;\-* #,##0.000_-;_-* \-???_-;_-@_-"/>
  </numFmts>
  <fonts count="37">
    <font>
      <sz val="11"/>
      <color rgb="FF000000"/>
      <name val="Calibri"/>
      <charset val="1"/>
    </font>
    <font>
      <sz val="8.5"/>
      <color rgb="FF000000"/>
      <name val="Calibri"/>
      <charset val="134"/>
    </font>
    <font>
      <b/>
      <sz val="8.5"/>
      <color rgb="FF000000"/>
      <name val="Calibri"/>
      <charset val="134"/>
      <scheme val="minor"/>
    </font>
    <font>
      <sz val="8.5"/>
      <color rgb="FF000000"/>
      <name val="Calibri"/>
      <charset val="134"/>
      <scheme val="minor"/>
    </font>
    <font>
      <b/>
      <sz val="8.5"/>
      <color theme="1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</font>
    <font>
      <sz val="10"/>
      <color rgb="FF00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9"/>
      <color rgb="FF000000"/>
      <name val="Arial"/>
      <charset val="134"/>
    </font>
    <font>
      <b/>
      <sz val="10"/>
      <color rgb="FF000000"/>
      <name val="Times New Roman"/>
      <charset val="134"/>
    </font>
    <font>
      <sz val="12"/>
      <color rgb="FF000000"/>
      <name val="Calibri"/>
      <charset val="1"/>
    </font>
    <font>
      <b/>
      <sz val="12"/>
      <color rgb="FF000000"/>
      <name val="Times New Roman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C3E6"/>
        <bgColor rgb="FFC0C0C0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9" fontId="0" fillId="0" borderId="0" applyBorder="0" applyProtection="0"/>
    <xf numFmtId="183" fontId="2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0" fillId="0" borderId="0" applyBorder="0" applyProtection="0"/>
    <xf numFmtId="0" fontId="25" fillId="0" borderId="8" applyNumberFormat="0" applyFill="0" applyAlignment="0" applyProtection="0">
      <alignment vertical="center"/>
    </xf>
    <xf numFmtId="0" fontId="22" fillId="12" borderId="7" applyNumberFormat="0" applyAlignment="0" applyProtection="0">
      <alignment vertical="center"/>
    </xf>
    <xf numFmtId="180" fontId="2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82" fontId="2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3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9" fontId="0" fillId="0" borderId="0" applyBorder="0" applyProtection="0"/>
    <xf numFmtId="0" fontId="24" fillId="25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31" borderId="13" applyNumberFormat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36" fillId="20" borderId="13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1" fontId="2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1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81" fontId="3" fillId="3" borderId="1" xfId="1" applyNumberFormat="1" applyFont="1" applyFill="1" applyBorder="1" applyAlignment="1">
      <alignment horizontal="center" vertical="center" wrapText="1"/>
    </xf>
    <xf numFmtId="181" fontId="3" fillId="0" borderId="1" xfId="1" applyNumberFormat="1" applyFont="1" applyFill="1" applyBorder="1" applyAlignment="1">
      <alignment horizontal="center" vertical="center" wrapText="1"/>
    </xf>
    <xf numFmtId="179" fontId="1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179" fontId="1" fillId="0" borderId="1" xfId="1" applyFont="1" applyBorder="1" applyAlignment="1">
      <alignment horizontal="center" vertical="center"/>
    </xf>
    <xf numFmtId="179" fontId="1" fillId="0" borderId="1" xfId="1" applyFont="1" applyBorder="1"/>
    <xf numFmtId="0" fontId="0" fillId="0" borderId="0" xfId="0" applyAlignment="1">
      <alignment wrapText="1"/>
    </xf>
    <xf numFmtId="0" fontId="0" fillId="0" borderId="0" xfId="0" applyFill="1"/>
    <xf numFmtId="181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1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1" fontId="7" fillId="3" borderId="1" xfId="1" applyNumberFormat="1" applyFont="1" applyFill="1" applyBorder="1" applyAlignment="1">
      <alignment horizontal="center" vertical="center" wrapText="1"/>
    </xf>
    <xf numFmtId="181" fontId="7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81" fontId="8" fillId="2" borderId="1" xfId="0" applyNumberFormat="1" applyFont="1" applyFill="1" applyBorder="1" applyAlignment="1">
      <alignment horizontal="center" vertical="center"/>
    </xf>
    <xf numFmtId="179" fontId="6" fillId="0" borderId="1" xfId="1" applyFont="1" applyBorder="1" applyAlignment="1">
      <alignment horizontal="center" vertical="center"/>
    </xf>
    <xf numFmtId="181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181" fontId="0" fillId="0" borderId="0" xfId="0" applyNumberFormat="1" applyFill="1"/>
    <xf numFmtId="179" fontId="0" fillId="0" borderId="1" xfId="1" applyBorder="1" applyAlignment="1">
      <alignment horizontal="center" vertical="center"/>
    </xf>
    <xf numFmtId="179" fontId="0" fillId="0" borderId="0" xfId="1"/>
    <xf numFmtId="179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86" fontId="13" fillId="0" borderId="1" xfId="1" applyNumberFormat="1" applyFont="1" applyFill="1" applyBorder="1" applyAlignment="1" applyProtection="1">
      <alignment horizontal="center" vertical="center" wrapText="1"/>
    </xf>
    <xf numFmtId="186" fontId="13" fillId="0" borderId="1" xfId="1" applyNumberFormat="1" applyFont="1" applyBorder="1" applyAlignment="1" applyProtection="1">
      <alignment horizontal="center" vertical="center" wrapText="1"/>
    </xf>
    <xf numFmtId="179" fontId="13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9" fontId="10" fillId="0" borderId="0" xfId="0" applyNumberFormat="1" applyFont="1"/>
    <xf numFmtId="186" fontId="12" fillId="0" borderId="1" xfId="1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11" fillId="0" borderId="1" xfId="4" applyNumberFormat="1" applyFont="1" applyBorder="1" applyAlignment="1" applyProtection="1">
      <alignment horizontal="center" vertical="center" wrapText="1"/>
    </xf>
    <xf numFmtId="10" fontId="11" fillId="0" borderId="1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10" fontId="15" fillId="0" borderId="1" xfId="4" applyNumberFormat="1" applyFont="1" applyBorder="1" applyAlignment="1" applyProtection="1">
      <alignment horizontal="center" vertical="center" wrapText="1"/>
    </xf>
    <xf numFmtId="179" fontId="11" fillId="0" borderId="1" xfId="1" applyFont="1" applyFill="1" applyBorder="1" applyAlignment="1" applyProtection="1">
      <alignment horizontal="center" vertical="center" wrapText="1"/>
    </xf>
    <xf numFmtId="179" fontId="11" fillId="0" borderId="1" xfId="1" applyFont="1" applyBorder="1" applyAlignment="1" applyProtection="1">
      <alignment horizontal="center" vertical="center" wrapText="1"/>
    </xf>
    <xf numFmtId="187" fontId="11" fillId="0" borderId="1" xfId="1" applyNumberFormat="1" applyFont="1" applyBorder="1" applyAlignment="1" applyProtection="1">
      <alignment horizontal="center" vertical="center" wrapText="1"/>
    </xf>
    <xf numFmtId="179" fontId="15" fillId="0" borderId="1" xfId="1" applyFont="1" applyBorder="1" applyAlignment="1" applyProtection="1">
      <alignment horizontal="center" vertical="center" wrapText="1"/>
    </xf>
    <xf numFmtId="188" fontId="10" fillId="0" borderId="0" xfId="0" applyNumberFormat="1" applyFont="1"/>
    <xf numFmtId="178" fontId="10" fillId="0" borderId="0" xfId="4" applyNumberFormat="1" applyFont="1" applyBorder="1" applyAlignment="1" applyProtection="1"/>
    <xf numFmtId="189" fontId="11" fillId="0" borderId="1" xfId="4" applyNumberFormat="1" applyFont="1" applyBorder="1" applyAlignment="1" applyProtection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8" fontId="11" fillId="0" borderId="1" xfId="4" applyNumberFormat="1" applyFont="1" applyBorder="1" applyAlignment="1" applyProtection="1">
      <alignment horizontal="center" vertical="center" wrapText="1"/>
    </xf>
    <xf numFmtId="178" fontId="16" fillId="0" borderId="0" xfId="4" applyNumberFormat="1" applyFont="1" applyBorder="1" applyAlignment="1" applyProtection="1"/>
    <xf numFmtId="190" fontId="10" fillId="0" borderId="0" xfId="0" applyNumberFormat="1" applyFont="1"/>
    <xf numFmtId="179" fontId="10" fillId="0" borderId="0" xfId="1" applyFont="1" applyBorder="1" applyAlignment="1" applyProtection="1"/>
    <xf numFmtId="2" fontId="15" fillId="0" borderId="1" xfId="0" applyNumberFormat="1" applyFont="1" applyBorder="1" applyAlignment="1">
      <alignment horizontal="center" vertical="center" wrapText="1"/>
    </xf>
    <xf numFmtId="185" fontId="9" fillId="0" borderId="0" xfId="4" applyNumberFormat="1" applyFont="1" applyBorder="1" applyAlignment="1" applyProtection="1"/>
    <xf numFmtId="178" fontId="9" fillId="0" borderId="0" xfId="0" applyNumberFormat="1" applyFont="1"/>
    <xf numFmtId="189" fontId="9" fillId="0" borderId="0" xfId="0" applyNumberFormat="1" applyFont="1"/>
    <xf numFmtId="178" fontId="16" fillId="0" borderId="0" xfId="0" applyNumberFormat="1" applyFont="1"/>
    <xf numFmtId="0" fontId="16" fillId="0" borderId="0" xfId="0" applyFont="1"/>
    <xf numFmtId="10" fontId="10" fillId="0" borderId="0" xfId="0" applyNumberFormat="1" applyFont="1"/>
    <xf numFmtId="10" fontId="16" fillId="0" borderId="0" xfId="4" applyNumberFormat="1" applyFont="1" applyBorder="1" applyAlignment="1" applyProtection="1"/>
    <xf numFmtId="191" fontId="11" fillId="0" borderId="1" xfId="0" applyNumberFormat="1" applyFont="1" applyBorder="1" applyAlignment="1">
      <alignment horizontal="center" vertical="center" wrapText="1"/>
    </xf>
    <xf numFmtId="192" fontId="11" fillId="0" borderId="1" xfId="0" applyNumberFormat="1" applyFont="1" applyBorder="1" applyAlignment="1">
      <alignment horizontal="center" vertical="center" wrapText="1"/>
    </xf>
    <xf numFmtId="178" fontId="10" fillId="0" borderId="0" xfId="0" applyNumberFormat="1" applyFont="1"/>
    <xf numFmtId="189" fontId="10" fillId="0" borderId="0" xfId="0" applyNumberFormat="1" applyFont="1"/>
    <xf numFmtId="189" fontId="10" fillId="0" borderId="0" xfId="4" applyNumberFormat="1" applyFont="1" applyBorder="1" applyAlignment="1" applyProtection="1"/>
    <xf numFmtId="193" fontId="11" fillId="0" borderId="1" xfId="0" applyNumberFormat="1" applyFont="1" applyBorder="1" applyAlignment="1">
      <alignment horizontal="center" vertical="center" wrapText="1"/>
    </xf>
    <xf numFmtId="10" fontId="10" fillId="0" borderId="0" xfId="4" applyNumberFormat="1" applyFont="1" applyBorder="1" applyAlignment="1" applyProtection="1"/>
    <xf numFmtId="186" fontId="11" fillId="0" borderId="1" xfId="0" applyNumberFormat="1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79" fontId="9" fillId="0" borderId="0" xfId="0" applyNumberFormat="1" applyFont="1"/>
    <xf numFmtId="176" fontId="15" fillId="0" borderId="1" xfId="0" applyNumberFormat="1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0" fontId="9" fillId="0" borderId="0" xfId="0" applyNumberFormat="1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21"/>
  <sheetViews>
    <sheetView showGridLines="0" zoomScale="115" zoomScaleNormal="115" workbookViewId="0">
      <selection activeCell="A121" sqref="A121:C121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ht="16.5" customHeight="1" spans="1:5">
      <c r="A1" s="101" t="s">
        <v>0</v>
      </c>
      <c r="B1" s="101"/>
      <c r="C1" s="101"/>
      <c r="D1" s="101"/>
      <c r="E1" s="101"/>
    </row>
    <row r="2" spans="1:5">
      <c r="A2" s="102"/>
      <c r="B2" s="102"/>
      <c r="C2" s="102"/>
      <c r="D2" s="102"/>
      <c r="E2" s="102"/>
    </row>
    <row r="3" s="36" customFormat="1" customHeight="1" spans="1:5">
      <c r="A3" s="39" t="s">
        <v>1</v>
      </c>
      <c r="B3" s="39"/>
      <c r="C3" s="39"/>
      <c r="D3" s="39"/>
      <c r="E3" s="39"/>
    </row>
    <row r="4" customHeight="1" spans="1:5">
      <c r="A4" s="40" t="s">
        <v>2</v>
      </c>
      <c r="B4" s="40"/>
      <c r="C4" s="40"/>
      <c r="D4" s="40"/>
      <c r="E4" s="40"/>
    </row>
    <row r="5" customHeight="1" spans="1:5">
      <c r="A5" s="40" t="s">
        <v>3</v>
      </c>
      <c r="B5" s="40"/>
      <c r="C5" s="40"/>
      <c r="D5" s="40"/>
      <c r="E5" s="40"/>
    </row>
    <row r="6" customHeight="1" spans="1:5">
      <c r="A6" s="40" t="s">
        <v>4</v>
      </c>
      <c r="B6" s="40"/>
      <c r="C6" s="40"/>
      <c r="D6" s="40"/>
      <c r="E6" s="40"/>
    </row>
    <row r="7" customHeight="1" spans="1:5">
      <c r="A7" s="39" t="s">
        <v>5</v>
      </c>
      <c r="B7" s="39"/>
      <c r="C7" s="39"/>
      <c r="D7" s="39"/>
      <c r="E7" s="39"/>
    </row>
    <row r="8" customHeight="1" spans="1:5">
      <c r="A8" s="40" t="s">
        <v>6</v>
      </c>
      <c r="B8" s="40" t="s">
        <v>7</v>
      </c>
      <c r="C8" s="40"/>
      <c r="D8" s="40"/>
      <c r="E8" s="41" t="s">
        <v>8</v>
      </c>
    </row>
    <row r="9" customHeight="1" spans="1:5">
      <c r="A9" s="40" t="s">
        <v>9</v>
      </c>
      <c r="B9" s="40" t="s">
        <v>10</v>
      </c>
      <c r="C9" s="40"/>
      <c r="D9" s="40"/>
      <c r="E9" s="40" t="s">
        <v>11</v>
      </c>
    </row>
    <row r="10" customHeight="1" spans="1:5">
      <c r="A10" s="40" t="s">
        <v>12</v>
      </c>
      <c r="B10" s="40" t="s">
        <v>13</v>
      </c>
      <c r="C10" s="40"/>
      <c r="D10" s="40"/>
      <c r="E10" s="40">
        <v>2019</v>
      </c>
    </row>
    <row r="11" customHeight="1" spans="1:5">
      <c r="A11" s="40" t="s">
        <v>14</v>
      </c>
      <c r="B11" s="40" t="s">
        <v>15</v>
      </c>
      <c r="C11" s="40"/>
      <c r="D11" s="40"/>
      <c r="E11" s="100" t="s">
        <v>16</v>
      </c>
    </row>
    <row r="12" customHeight="1" spans="1:5">
      <c r="A12" s="40" t="s">
        <v>17</v>
      </c>
      <c r="B12" s="40" t="s">
        <v>18</v>
      </c>
      <c r="C12" s="40"/>
      <c r="D12" s="40"/>
      <c r="E12" s="40">
        <v>12</v>
      </c>
    </row>
    <row r="13" customHeight="1" spans="1:5">
      <c r="A13" s="43" t="s">
        <v>19</v>
      </c>
      <c r="B13" s="43" t="s">
        <v>20</v>
      </c>
      <c r="C13" s="43"/>
      <c r="D13" s="43"/>
      <c r="E13" s="44">
        <v>998</v>
      </c>
    </row>
    <row r="14" spans="1:5">
      <c r="A14" s="43" t="s">
        <v>21</v>
      </c>
      <c r="B14" s="45" t="s">
        <v>22</v>
      </c>
      <c r="C14" s="46"/>
      <c r="D14" s="47"/>
      <c r="E14" s="48" t="s">
        <v>23</v>
      </c>
    </row>
    <row r="15" customHeight="1" spans="1:5">
      <c r="A15" s="49" t="s">
        <v>24</v>
      </c>
      <c r="B15" s="49"/>
      <c r="C15" s="49"/>
      <c r="D15" s="49"/>
      <c r="E15" s="49"/>
    </row>
    <row r="16" ht="25.5" customHeight="1" spans="1:5">
      <c r="A16" s="50" t="s">
        <v>25</v>
      </c>
      <c r="B16" s="50" t="s">
        <v>26</v>
      </c>
      <c r="C16" s="50"/>
      <c r="D16" s="50"/>
      <c r="E16" s="50" t="s">
        <v>27</v>
      </c>
    </row>
    <row r="17" ht="25.5" spans="1:5">
      <c r="A17" s="43" t="s">
        <v>28</v>
      </c>
      <c r="B17" s="50" t="s">
        <v>29</v>
      </c>
      <c r="C17" s="50"/>
      <c r="D17" s="50"/>
      <c r="E17" s="50" t="s">
        <v>30</v>
      </c>
    </row>
    <row r="18" customHeight="1" spans="1:5">
      <c r="A18" s="50" t="s">
        <v>31</v>
      </c>
      <c r="B18" s="50"/>
      <c r="C18" s="50"/>
      <c r="D18" s="50"/>
      <c r="E18" s="51">
        <v>1544.93</v>
      </c>
    </row>
    <row r="19" s="36" customFormat="1" customHeight="1" spans="1:5">
      <c r="A19" s="39" t="s">
        <v>32</v>
      </c>
      <c r="B19" s="39"/>
      <c r="C19" s="39"/>
      <c r="D19" s="39"/>
      <c r="E19" s="39"/>
    </row>
    <row r="20" ht="25.5" customHeight="1" spans="1:5">
      <c r="A20" s="40">
        <v>1</v>
      </c>
      <c r="B20" s="40" t="s">
        <v>33</v>
      </c>
      <c r="C20" s="40"/>
      <c r="D20" s="40" t="s">
        <v>34</v>
      </c>
      <c r="E20" s="40" t="s">
        <v>35</v>
      </c>
    </row>
    <row r="21" customHeight="1" spans="1:5">
      <c r="A21" s="40" t="s">
        <v>6</v>
      </c>
      <c r="B21" s="40" t="s">
        <v>36</v>
      </c>
      <c r="C21" s="40"/>
      <c r="D21" s="52">
        <f>E18</f>
        <v>1544.93</v>
      </c>
      <c r="E21" s="40" t="s">
        <v>37</v>
      </c>
    </row>
    <row r="22" customHeight="1" spans="1:5">
      <c r="A22" s="40" t="s">
        <v>9</v>
      </c>
      <c r="B22" s="40" t="s">
        <v>38</v>
      </c>
      <c r="C22" s="40"/>
      <c r="D22" s="53"/>
      <c r="E22" s="54" t="s">
        <v>39</v>
      </c>
    </row>
    <row r="23" customHeight="1" spans="1:5">
      <c r="A23" s="40" t="s">
        <v>12</v>
      </c>
      <c r="B23" s="40" t="s">
        <v>40</v>
      </c>
      <c r="C23" s="40"/>
      <c r="D23" s="53"/>
      <c r="E23" s="54" t="s">
        <v>39</v>
      </c>
    </row>
    <row r="24" customHeight="1" spans="1:5">
      <c r="A24" s="40" t="s">
        <v>14</v>
      </c>
      <c r="B24" s="40" t="s">
        <v>41</v>
      </c>
      <c r="C24" s="40"/>
      <c r="D24" s="53"/>
      <c r="E24" s="54" t="s">
        <v>39</v>
      </c>
    </row>
    <row r="25" customHeight="1" spans="1:6">
      <c r="A25" s="40" t="s">
        <v>17</v>
      </c>
      <c r="B25" s="40" t="s">
        <v>42</v>
      </c>
      <c r="C25" s="40"/>
      <c r="D25" s="53"/>
      <c r="E25" s="54" t="s">
        <v>39</v>
      </c>
      <c r="F25" s="55"/>
    </row>
    <row r="26" spans="1:7">
      <c r="A26" s="40" t="s">
        <v>21</v>
      </c>
      <c r="B26" s="40" t="s">
        <v>43</v>
      </c>
      <c r="C26" s="40"/>
      <c r="D26" s="53"/>
      <c r="E26" s="54" t="s">
        <v>39</v>
      </c>
      <c r="F26" s="55"/>
      <c r="G26" s="55"/>
    </row>
    <row r="27" s="36" customFormat="1" customHeight="1" spans="1:5">
      <c r="A27" s="39" t="s">
        <v>44</v>
      </c>
      <c r="B27" s="39"/>
      <c r="C27" s="39"/>
      <c r="D27" s="56">
        <f>SUM(D21:D26)</f>
        <v>1544.93</v>
      </c>
      <c r="E27" s="54" t="s">
        <v>39</v>
      </c>
    </row>
    <row r="28" customHeight="1" spans="1:5">
      <c r="A28" s="57" t="s">
        <v>45</v>
      </c>
      <c r="B28" s="57"/>
      <c r="C28" s="57"/>
      <c r="D28" s="57"/>
      <c r="E28" s="57"/>
    </row>
    <row r="29" s="36" customFormat="1" customHeight="1" spans="1:5">
      <c r="A29" s="57" t="s">
        <v>46</v>
      </c>
      <c r="B29" s="57"/>
      <c r="C29" s="57"/>
      <c r="D29" s="57"/>
      <c r="E29" s="57"/>
    </row>
    <row r="30" ht="25.5" spans="1:5">
      <c r="A30" s="54" t="s">
        <v>47</v>
      </c>
      <c r="B30" s="54" t="s">
        <v>48</v>
      </c>
      <c r="C30" s="54" t="s">
        <v>49</v>
      </c>
      <c r="D30" s="54" t="s">
        <v>34</v>
      </c>
      <c r="E30" s="40" t="s">
        <v>35</v>
      </c>
    </row>
    <row r="31" spans="1:5">
      <c r="A31" s="54" t="s">
        <v>6</v>
      </c>
      <c r="B31" s="54" t="s">
        <v>50</v>
      </c>
      <c r="C31" s="58">
        <v>0.0833</v>
      </c>
      <c r="D31" s="54">
        <f>ROUNDDOWN(C31*$D$27,2)</f>
        <v>128.69</v>
      </c>
      <c r="E31" s="54" t="s">
        <v>39</v>
      </c>
    </row>
    <row r="32" spans="1:5">
      <c r="A32" s="54" t="s">
        <v>9</v>
      </c>
      <c r="B32" s="54" t="s">
        <v>51</v>
      </c>
      <c r="C32" s="59">
        <v>0.0278</v>
      </c>
      <c r="D32" s="54">
        <f>ROUNDDOWN(C32*$D$27,2)</f>
        <v>42.94</v>
      </c>
      <c r="E32" s="54" t="s">
        <v>39</v>
      </c>
    </row>
    <row r="33" customHeight="1" spans="1:5">
      <c r="A33" s="54" t="s">
        <v>52</v>
      </c>
      <c r="B33" s="54"/>
      <c r="C33" s="59">
        <f>SUM(C31:C32)</f>
        <v>0.1111</v>
      </c>
      <c r="D33" s="54">
        <f>SUM(D31:D32)</f>
        <v>171.63</v>
      </c>
      <c r="E33" s="54" t="s">
        <v>39</v>
      </c>
    </row>
    <row r="34" ht="25.5" spans="1:5">
      <c r="A34" s="54" t="s">
        <v>12</v>
      </c>
      <c r="B34" s="54" t="s">
        <v>53</v>
      </c>
      <c r="C34" s="58">
        <f>ROUNDDOWN(C33*C46,4)</f>
        <v>0.0417</v>
      </c>
      <c r="D34" s="54">
        <f>ROUNDDOWN(C34*$D$27,2)</f>
        <v>64.42</v>
      </c>
      <c r="E34" s="54" t="s">
        <v>39</v>
      </c>
    </row>
    <row r="35" s="36" customFormat="1" customHeight="1" spans="1:5">
      <c r="A35" s="57" t="s">
        <v>44</v>
      </c>
      <c r="B35" s="57"/>
      <c r="C35" s="60">
        <f>C34+C33</f>
        <v>0.1528</v>
      </c>
      <c r="D35" s="57">
        <f>D34+D33</f>
        <v>236.05</v>
      </c>
      <c r="E35" s="54" t="s">
        <v>39</v>
      </c>
    </row>
    <row r="36" customHeight="1" spans="1:5">
      <c r="A36" s="57" t="s">
        <v>54</v>
      </c>
      <c r="B36" s="57"/>
      <c r="C36" s="57"/>
      <c r="D36" s="57"/>
      <c r="E36" s="57"/>
    </row>
    <row r="37" ht="25.5" spans="1:5">
      <c r="A37" s="54" t="s">
        <v>55</v>
      </c>
      <c r="B37" s="54" t="s">
        <v>56</v>
      </c>
      <c r="C37" s="54" t="s">
        <v>49</v>
      </c>
      <c r="D37" s="54" t="s">
        <v>34</v>
      </c>
      <c r="E37" s="40" t="s">
        <v>35</v>
      </c>
    </row>
    <row r="38" spans="1:5">
      <c r="A38" s="54" t="s">
        <v>6</v>
      </c>
      <c r="B38" s="54" t="s">
        <v>57</v>
      </c>
      <c r="C38" s="61">
        <v>0.2</v>
      </c>
      <c r="D38" s="54">
        <f t="shared" ref="D38:D45" si="0">ROUNDDOWN(C38*$D$27,2)</f>
        <v>308.98</v>
      </c>
      <c r="E38" s="54" t="s">
        <v>39</v>
      </c>
    </row>
    <row r="39" spans="1:5">
      <c r="A39" s="54" t="s">
        <v>9</v>
      </c>
      <c r="B39" s="54" t="s">
        <v>58</v>
      </c>
      <c r="C39" s="61">
        <v>0.025</v>
      </c>
      <c r="D39" s="54">
        <f t="shared" si="0"/>
        <v>38.62</v>
      </c>
      <c r="E39" s="54" t="s">
        <v>39</v>
      </c>
    </row>
    <row r="40" spans="1:5">
      <c r="A40" s="54" t="s">
        <v>12</v>
      </c>
      <c r="B40" s="54" t="s">
        <v>59</v>
      </c>
      <c r="C40" s="61">
        <v>0.015</v>
      </c>
      <c r="D40" s="54">
        <f t="shared" si="0"/>
        <v>23.17</v>
      </c>
      <c r="E40" s="54" t="s">
        <v>39</v>
      </c>
    </row>
    <row r="41" spans="1:5">
      <c r="A41" s="54" t="s">
        <v>14</v>
      </c>
      <c r="B41" s="54" t="s">
        <v>60</v>
      </c>
      <c r="C41" s="61">
        <v>0.01</v>
      </c>
      <c r="D41" s="54">
        <f t="shared" si="0"/>
        <v>15.44</v>
      </c>
      <c r="E41" s="54" t="s">
        <v>39</v>
      </c>
    </row>
    <row r="42" spans="1:5">
      <c r="A42" s="54" t="s">
        <v>17</v>
      </c>
      <c r="B42" s="54" t="s">
        <v>61</v>
      </c>
      <c r="C42" s="61">
        <v>0.006</v>
      </c>
      <c r="D42" s="54">
        <f t="shared" si="0"/>
        <v>9.26</v>
      </c>
      <c r="E42" s="54" t="s">
        <v>39</v>
      </c>
    </row>
    <row r="43" spans="1:5">
      <c r="A43" s="54" t="s">
        <v>19</v>
      </c>
      <c r="B43" s="54" t="s">
        <v>62</v>
      </c>
      <c r="C43" s="61">
        <v>0.002</v>
      </c>
      <c r="D43" s="54">
        <f t="shared" si="0"/>
        <v>3.08</v>
      </c>
      <c r="E43" s="54" t="s">
        <v>39</v>
      </c>
    </row>
    <row r="44" spans="1:5">
      <c r="A44" s="54" t="s">
        <v>21</v>
      </c>
      <c r="B44" s="54" t="s">
        <v>63</v>
      </c>
      <c r="C44" s="61">
        <v>0.08</v>
      </c>
      <c r="D44" s="54">
        <f t="shared" si="0"/>
        <v>123.59</v>
      </c>
      <c r="E44" s="54" t="s">
        <v>39</v>
      </c>
    </row>
    <row r="45" s="17" customFormat="1" spans="1:1025">
      <c r="A45" s="43" t="s">
        <v>64</v>
      </c>
      <c r="B45" s="43" t="s">
        <v>65</v>
      </c>
      <c r="C45" s="62">
        <v>0.0375</v>
      </c>
      <c r="D45" s="43">
        <f t="shared" si="0"/>
        <v>57.93</v>
      </c>
      <c r="E45" s="43" t="s">
        <v>39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E45" s="63"/>
      <c r="AMF45" s="63"/>
      <c r="AMG45" s="63"/>
      <c r="AMH45" s="63"/>
      <c r="AMI45" s="63"/>
      <c r="AMJ45" s="63"/>
      <c r="AMK45" s="63"/>
    </row>
    <row r="46" s="36" customFormat="1" customHeight="1" spans="1:5">
      <c r="A46" s="57" t="s">
        <v>66</v>
      </c>
      <c r="B46" s="57"/>
      <c r="C46" s="64">
        <f>SUM(C38:C45)</f>
        <v>0.3755</v>
      </c>
      <c r="D46" s="57">
        <f>SUM(D38:D45)</f>
        <v>580.07</v>
      </c>
      <c r="E46" s="54" t="s">
        <v>39</v>
      </c>
    </row>
    <row r="47" customHeight="1" spans="1:5">
      <c r="A47" s="57" t="s">
        <v>67</v>
      </c>
      <c r="B47" s="57"/>
      <c r="C47" s="57"/>
      <c r="D47" s="57"/>
      <c r="E47" s="57"/>
    </row>
    <row r="48" ht="25.5" spans="1:5">
      <c r="A48" s="54" t="s">
        <v>68</v>
      </c>
      <c r="B48" s="54" t="s">
        <v>69</v>
      </c>
      <c r="C48" s="54" t="s">
        <v>70</v>
      </c>
      <c r="D48" s="54" t="s">
        <v>34</v>
      </c>
      <c r="E48" s="40" t="s">
        <v>35</v>
      </c>
    </row>
    <row r="49" s="17" customFormat="1" spans="1:1025">
      <c r="A49" s="43" t="s">
        <v>6</v>
      </c>
      <c r="B49" s="43" t="s">
        <v>71</v>
      </c>
      <c r="C49" s="65">
        <v>3.2</v>
      </c>
      <c r="D49" s="65">
        <f>ROUNDDOWN(C49*21.73*2,2)</f>
        <v>139.07</v>
      </c>
      <c r="E49" s="43" t="s">
        <v>72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9</v>
      </c>
      <c r="B50" s="54" t="s">
        <v>73</v>
      </c>
      <c r="C50" s="66">
        <f>D21</f>
        <v>1544.93</v>
      </c>
      <c r="D50" s="66">
        <f>ROUNDDOWN(-C50*0.06,2)</f>
        <v>-92.69</v>
      </c>
      <c r="E50" s="54" t="s">
        <v>37</v>
      </c>
    </row>
    <row r="51" s="17" customFormat="1" spans="1:1025">
      <c r="A51" s="43" t="s">
        <v>12</v>
      </c>
      <c r="B51" s="43" t="s">
        <v>74</v>
      </c>
      <c r="C51" s="65">
        <v>20.8</v>
      </c>
      <c r="D51" s="65">
        <f>ROUNDDOWN(C51*21.73,2)</f>
        <v>451.98</v>
      </c>
      <c r="E51" s="43" t="s">
        <v>37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  <c r="IW51" s="63"/>
      <c r="IX51" s="63"/>
      <c r="IY51" s="63"/>
      <c r="IZ51" s="63"/>
      <c r="JA51" s="63"/>
      <c r="JB51" s="63"/>
      <c r="JC51" s="63"/>
      <c r="JD51" s="63"/>
      <c r="JE51" s="63"/>
      <c r="JF51" s="63"/>
      <c r="JG51" s="63"/>
      <c r="JH51" s="63"/>
      <c r="JI51" s="63"/>
      <c r="JJ51" s="63"/>
      <c r="JK51" s="63"/>
      <c r="JL51" s="63"/>
      <c r="JM51" s="63"/>
      <c r="JN51" s="63"/>
      <c r="JO51" s="63"/>
      <c r="JP51" s="63"/>
      <c r="JQ51" s="63"/>
      <c r="JR51" s="63"/>
      <c r="JS51" s="63"/>
      <c r="JT51" s="63"/>
      <c r="JU51" s="63"/>
      <c r="JV51" s="63"/>
      <c r="JW51" s="63"/>
      <c r="JX51" s="63"/>
      <c r="JY51" s="63"/>
      <c r="JZ51" s="63"/>
      <c r="KA51" s="63"/>
      <c r="KB51" s="63"/>
      <c r="KC51" s="63"/>
      <c r="KD51" s="63"/>
      <c r="KE51" s="63"/>
      <c r="KF51" s="63"/>
      <c r="KG51" s="63"/>
      <c r="KH51" s="63"/>
      <c r="KI51" s="63"/>
      <c r="KJ51" s="63"/>
      <c r="KK51" s="63"/>
      <c r="KL51" s="63"/>
      <c r="KM51" s="63"/>
      <c r="KN51" s="63"/>
      <c r="KO51" s="63"/>
      <c r="KP51" s="63"/>
      <c r="KQ51" s="63"/>
      <c r="KR51" s="63"/>
      <c r="KS51" s="63"/>
      <c r="KT51" s="63"/>
      <c r="KU51" s="63"/>
      <c r="KV51" s="63"/>
      <c r="KW51" s="63"/>
      <c r="KX51" s="63"/>
      <c r="KY51" s="63"/>
      <c r="KZ51" s="63"/>
      <c r="LA51" s="63"/>
      <c r="LB51" s="63"/>
      <c r="LC51" s="63"/>
      <c r="LD51" s="63"/>
      <c r="LE51" s="63"/>
      <c r="LF51" s="63"/>
      <c r="LG51" s="63"/>
      <c r="LH51" s="63"/>
      <c r="LI51" s="63"/>
      <c r="LJ51" s="63"/>
      <c r="LK51" s="63"/>
      <c r="LL51" s="63"/>
      <c r="LM51" s="63"/>
      <c r="LN51" s="63"/>
      <c r="LO51" s="63"/>
      <c r="LP51" s="63"/>
      <c r="LQ51" s="63"/>
      <c r="LR51" s="63"/>
      <c r="LS51" s="63"/>
      <c r="LT51" s="63"/>
      <c r="LU51" s="63"/>
      <c r="LV51" s="63"/>
      <c r="LW51" s="63"/>
      <c r="LX51" s="63"/>
      <c r="LY51" s="63"/>
      <c r="LZ51" s="63"/>
      <c r="MA51" s="63"/>
      <c r="MB51" s="63"/>
      <c r="MC51" s="63"/>
      <c r="MD51" s="63"/>
      <c r="ME51" s="63"/>
      <c r="MF51" s="63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  <c r="NS51" s="63"/>
      <c r="NT51" s="63"/>
      <c r="NU51" s="63"/>
      <c r="NV51" s="63"/>
      <c r="NW51" s="63"/>
      <c r="NX51" s="63"/>
      <c r="NY51" s="63"/>
      <c r="NZ51" s="63"/>
      <c r="OA51" s="63"/>
      <c r="OB51" s="63"/>
      <c r="OC51" s="63"/>
      <c r="OD51" s="63"/>
      <c r="OE51" s="63"/>
      <c r="OF51" s="63"/>
      <c r="OG51" s="63"/>
      <c r="OH51" s="63"/>
      <c r="OI51" s="63"/>
      <c r="OJ51" s="63"/>
      <c r="OK51" s="63"/>
      <c r="OL51" s="63"/>
      <c r="OM51" s="63"/>
      <c r="ON51" s="63"/>
      <c r="OO51" s="63"/>
      <c r="OP51" s="63"/>
      <c r="OQ51" s="63"/>
      <c r="OR51" s="63"/>
      <c r="OS51" s="63"/>
      <c r="OT51" s="63"/>
      <c r="OU51" s="63"/>
      <c r="OV51" s="63"/>
      <c r="OW51" s="63"/>
      <c r="OX51" s="63"/>
      <c r="OY51" s="63"/>
      <c r="OZ51" s="63"/>
      <c r="PA51" s="63"/>
      <c r="PB51" s="63"/>
      <c r="PC51" s="63"/>
      <c r="PD51" s="63"/>
      <c r="PE51" s="63"/>
      <c r="PF51" s="63"/>
      <c r="PG51" s="63"/>
      <c r="PH51" s="63"/>
      <c r="PI51" s="63"/>
      <c r="PJ51" s="63"/>
      <c r="PK51" s="63"/>
      <c r="PL51" s="63"/>
      <c r="PM51" s="63"/>
      <c r="PN51" s="63"/>
      <c r="PO51" s="63"/>
      <c r="PP51" s="63"/>
      <c r="PQ51" s="63"/>
      <c r="PR51" s="63"/>
      <c r="PS51" s="63"/>
      <c r="PT51" s="63"/>
      <c r="PU51" s="63"/>
      <c r="PV51" s="63"/>
      <c r="PW51" s="63"/>
      <c r="PX51" s="63"/>
      <c r="PY51" s="63"/>
      <c r="PZ51" s="63"/>
      <c r="QA51" s="63"/>
      <c r="QB51" s="63"/>
      <c r="QC51" s="63"/>
      <c r="QD51" s="63"/>
      <c r="QE51" s="63"/>
      <c r="QF51" s="63"/>
      <c r="QG51" s="63"/>
      <c r="QH51" s="63"/>
      <c r="QI51" s="63"/>
      <c r="QJ51" s="63"/>
      <c r="QK51" s="63"/>
      <c r="QL51" s="63"/>
      <c r="QM51" s="63"/>
      <c r="QN51" s="63"/>
      <c r="QO51" s="63"/>
      <c r="QP51" s="63"/>
      <c r="QQ51" s="63"/>
      <c r="QR51" s="63"/>
      <c r="QS51" s="63"/>
      <c r="QT51" s="63"/>
      <c r="QU51" s="63"/>
      <c r="QV51" s="63"/>
      <c r="QW51" s="63"/>
      <c r="QX51" s="63"/>
      <c r="QY51" s="63"/>
      <c r="QZ51" s="63"/>
      <c r="RA51" s="63"/>
      <c r="RB51" s="63"/>
      <c r="RC51" s="63"/>
      <c r="RD51" s="63"/>
      <c r="RE51" s="63"/>
      <c r="RF51" s="63"/>
      <c r="RG51" s="63"/>
      <c r="RH51" s="63"/>
      <c r="RI51" s="63"/>
      <c r="RJ51" s="63"/>
      <c r="RK51" s="63"/>
      <c r="RL51" s="63"/>
      <c r="RM51" s="63"/>
      <c r="RN51" s="63"/>
      <c r="RO51" s="63"/>
      <c r="RP51" s="63"/>
      <c r="RQ51" s="63"/>
      <c r="RR51" s="63"/>
      <c r="RS51" s="63"/>
      <c r="RT51" s="63"/>
      <c r="RU51" s="63"/>
      <c r="RV51" s="63"/>
      <c r="RW51" s="63"/>
      <c r="RX51" s="63"/>
      <c r="RY51" s="63"/>
      <c r="RZ51" s="63"/>
      <c r="SA51" s="63"/>
      <c r="SB51" s="63"/>
      <c r="SC51" s="63"/>
      <c r="SD51" s="63"/>
      <c r="SE51" s="63"/>
      <c r="SF51" s="63"/>
      <c r="SG51" s="63"/>
      <c r="SH51" s="63"/>
      <c r="SI51" s="63"/>
      <c r="SJ51" s="63"/>
      <c r="SK51" s="63"/>
      <c r="SL51" s="63"/>
      <c r="SM51" s="63"/>
      <c r="SN51" s="63"/>
      <c r="SO51" s="63"/>
      <c r="SP51" s="63"/>
      <c r="SQ51" s="63"/>
      <c r="SR51" s="63"/>
      <c r="SS51" s="63"/>
      <c r="ST51" s="63"/>
      <c r="SU51" s="63"/>
      <c r="SV51" s="63"/>
      <c r="SW51" s="63"/>
      <c r="SX51" s="63"/>
      <c r="SY51" s="63"/>
      <c r="SZ51" s="63"/>
      <c r="TA51" s="63"/>
      <c r="TB51" s="63"/>
      <c r="TC51" s="63"/>
      <c r="TD51" s="63"/>
      <c r="TE51" s="63"/>
      <c r="TF51" s="63"/>
      <c r="TG51" s="63"/>
      <c r="TH51" s="63"/>
      <c r="TI51" s="63"/>
      <c r="TJ51" s="63"/>
      <c r="TK51" s="63"/>
      <c r="TL51" s="63"/>
      <c r="TM51" s="63"/>
      <c r="TN51" s="63"/>
      <c r="TO51" s="63"/>
      <c r="TP51" s="63"/>
      <c r="TQ51" s="63"/>
      <c r="TR51" s="63"/>
      <c r="TS51" s="63"/>
      <c r="TT51" s="63"/>
      <c r="TU51" s="63"/>
      <c r="TV51" s="63"/>
      <c r="TW51" s="63"/>
      <c r="TX51" s="63"/>
      <c r="TY51" s="63"/>
      <c r="TZ51" s="63"/>
      <c r="UA51" s="63"/>
      <c r="UB51" s="63"/>
      <c r="UC51" s="63"/>
      <c r="UD51" s="63"/>
      <c r="UE51" s="63"/>
      <c r="UF51" s="63"/>
      <c r="UG51" s="63"/>
      <c r="UH51" s="63"/>
      <c r="UI51" s="63"/>
      <c r="UJ51" s="63"/>
      <c r="UK51" s="63"/>
      <c r="UL51" s="63"/>
      <c r="UM51" s="63"/>
      <c r="UN51" s="63"/>
      <c r="UO51" s="63"/>
      <c r="UP51" s="63"/>
      <c r="UQ51" s="63"/>
      <c r="UR51" s="63"/>
      <c r="US51" s="63"/>
      <c r="UT51" s="63"/>
      <c r="UU51" s="63"/>
      <c r="UV51" s="63"/>
      <c r="UW51" s="63"/>
      <c r="UX51" s="63"/>
      <c r="UY51" s="63"/>
      <c r="UZ51" s="63"/>
      <c r="VA51" s="63"/>
      <c r="VB51" s="63"/>
      <c r="VC51" s="63"/>
      <c r="VD51" s="63"/>
      <c r="VE51" s="63"/>
      <c r="VF51" s="63"/>
      <c r="VG51" s="63"/>
      <c r="VH51" s="63"/>
      <c r="VI51" s="63"/>
      <c r="VJ51" s="63"/>
      <c r="VK51" s="63"/>
      <c r="VL51" s="63"/>
      <c r="VM51" s="63"/>
      <c r="VN51" s="63"/>
      <c r="VO51" s="63"/>
      <c r="VP51" s="63"/>
      <c r="VQ51" s="63"/>
      <c r="VR51" s="63"/>
      <c r="VS51" s="63"/>
      <c r="VT51" s="63"/>
      <c r="VU51" s="63"/>
      <c r="VV51" s="63"/>
      <c r="VW51" s="63"/>
      <c r="VX51" s="63"/>
      <c r="VY51" s="63"/>
      <c r="VZ51" s="63"/>
      <c r="WA51" s="63"/>
      <c r="WB51" s="63"/>
      <c r="WC51" s="63"/>
      <c r="WD51" s="63"/>
      <c r="WE51" s="63"/>
      <c r="WF51" s="63"/>
      <c r="WG51" s="63"/>
      <c r="WH51" s="63"/>
      <c r="WI51" s="63"/>
      <c r="WJ51" s="63"/>
      <c r="WK51" s="63"/>
      <c r="WL51" s="63"/>
      <c r="WM51" s="63"/>
      <c r="WN51" s="63"/>
      <c r="WO51" s="63"/>
      <c r="WP51" s="63"/>
      <c r="WQ51" s="63"/>
      <c r="WR51" s="63"/>
      <c r="WS51" s="63"/>
      <c r="WT51" s="63"/>
      <c r="WU51" s="63"/>
      <c r="WV51" s="63"/>
      <c r="WW51" s="63"/>
      <c r="WX51" s="63"/>
      <c r="WY51" s="63"/>
      <c r="WZ51" s="63"/>
      <c r="XA51" s="63"/>
      <c r="XB51" s="63"/>
      <c r="XC51" s="63"/>
      <c r="XD51" s="63"/>
      <c r="XE51" s="63"/>
      <c r="XF51" s="63"/>
      <c r="XG51" s="63"/>
      <c r="XH51" s="63"/>
      <c r="XI51" s="63"/>
      <c r="XJ51" s="63"/>
      <c r="XK51" s="63"/>
      <c r="XL51" s="63"/>
      <c r="XM51" s="63"/>
      <c r="XN51" s="63"/>
      <c r="XO51" s="63"/>
      <c r="XP51" s="63"/>
      <c r="XQ51" s="63"/>
      <c r="XR51" s="63"/>
      <c r="XS51" s="63"/>
      <c r="XT51" s="63"/>
      <c r="XU51" s="63"/>
      <c r="XV51" s="63"/>
      <c r="XW51" s="63"/>
      <c r="XX51" s="63"/>
      <c r="XY51" s="63"/>
      <c r="XZ51" s="63"/>
      <c r="YA51" s="63"/>
      <c r="YB51" s="63"/>
      <c r="YC51" s="63"/>
      <c r="YD51" s="63"/>
      <c r="YE51" s="63"/>
      <c r="YF51" s="63"/>
      <c r="YG51" s="63"/>
      <c r="YH51" s="63"/>
      <c r="YI51" s="63"/>
      <c r="YJ51" s="63"/>
      <c r="YK51" s="63"/>
      <c r="YL51" s="63"/>
      <c r="YM51" s="63"/>
      <c r="YN51" s="63"/>
      <c r="YO51" s="63"/>
      <c r="YP51" s="63"/>
      <c r="YQ51" s="63"/>
      <c r="YR51" s="63"/>
      <c r="YS51" s="63"/>
      <c r="YT51" s="63"/>
      <c r="YU51" s="63"/>
      <c r="YV51" s="63"/>
      <c r="YW51" s="63"/>
      <c r="YX51" s="63"/>
      <c r="YY51" s="63"/>
      <c r="YZ51" s="63"/>
      <c r="ZA51" s="63"/>
      <c r="ZB51" s="63"/>
      <c r="ZC51" s="63"/>
      <c r="ZD51" s="63"/>
      <c r="ZE51" s="63"/>
      <c r="ZF51" s="63"/>
      <c r="ZG51" s="63"/>
      <c r="ZH51" s="63"/>
      <c r="ZI51" s="63"/>
      <c r="ZJ51" s="63"/>
      <c r="ZK51" s="63"/>
      <c r="ZL51" s="63"/>
      <c r="ZM51" s="63"/>
      <c r="ZN51" s="63"/>
      <c r="ZO51" s="63"/>
      <c r="ZP51" s="63"/>
      <c r="ZQ51" s="63"/>
      <c r="ZR51" s="63"/>
      <c r="ZS51" s="63"/>
      <c r="ZT51" s="63"/>
      <c r="ZU51" s="63"/>
      <c r="ZV51" s="63"/>
      <c r="ZW51" s="63"/>
      <c r="ZX51" s="63"/>
      <c r="ZY51" s="63"/>
      <c r="ZZ51" s="63"/>
      <c r="AAA51" s="63"/>
      <c r="AAB51" s="63"/>
      <c r="AAC51" s="63"/>
      <c r="AAD51" s="63"/>
      <c r="AAE51" s="63"/>
      <c r="AAF51" s="63"/>
      <c r="AAG51" s="63"/>
      <c r="AAH51" s="63"/>
      <c r="AAI51" s="63"/>
      <c r="AAJ51" s="63"/>
      <c r="AAK51" s="63"/>
      <c r="AAL51" s="63"/>
      <c r="AAM51" s="63"/>
      <c r="AAN51" s="63"/>
      <c r="AAO51" s="63"/>
      <c r="AAP51" s="63"/>
      <c r="AAQ51" s="63"/>
      <c r="AAR51" s="63"/>
      <c r="AAS51" s="63"/>
      <c r="AAT51" s="63"/>
      <c r="AAU51" s="63"/>
      <c r="AAV51" s="63"/>
      <c r="AAW51" s="63"/>
      <c r="AAX51" s="63"/>
      <c r="AAY51" s="63"/>
      <c r="AAZ51" s="63"/>
      <c r="ABA51" s="63"/>
      <c r="ABB51" s="63"/>
      <c r="ABC51" s="63"/>
      <c r="ABD51" s="63"/>
      <c r="ABE51" s="63"/>
      <c r="ABF51" s="63"/>
      <c r="ABG51" s="63"/>
      <c r="ABH51" s="63"/>
      <c r="ABI51" s="63"/>
      <c r="ABJ51" s="63"/>
      <c r="ABK51" s="63"/>
      <c r="ABL51" s="63"/>
      <c r="ABM51" s="63"/>
      <c r="ABN51" s="63"/>
      <c r="ABO51" s="63"/>
      <c r="ABP51" s="63"/>
      <c r="ABQ51" s="63"/>
      <c r="ABR51" s="63"/>
      <c r="ABS51" s="63"/>
      <c r="ABT51" s="63"/>
      <c r="ABU51" s="63"/>
      <c r="ABV51" s="63"/>
      <c r="ABW51" s="63"/>
      <c r="ABX51" s="63"/>
      <c r="ABY51" s="63"/>
      <c r="ABZ51" s="63"/>
      <c r="ACA51" s="63"/>
      <c r="ACB51" s="63"/>
      <c r="ACC51" s="63"/>
      <c r="ACD51" s="63"/>
      <c r="ACE51" s="63"/>
      <c r="ACF51" s="63"/>
      <c r="ACG51" s="63"/>
      <c r="ACH51" s="63"/>
      <c r="ACI51" s="63"/>
      <c r="ACJ51" s="63"/>
      <c r="ACK51" s="63"/>
      <c r="ACL51" s="63"/>
      <c r="ACM51" s="63"/>
      <c r="ACN51" s="63"/>
      <c r="ACO51" s="63"/>
      <c r="ACP51" s="63"/>
      <c r="ACQ51" s="63"/>
      <c r="ACR51" s="63"/>
      <c r="ACS51" s="63"/>
      <c r="ACT51" s="63"/>
      <c r="ACU51" s="63"/>
      <c r="ACV51" s="63"/>
      <c r="ACW51" s="63"/>
      <c r="ACX51" s="63"/>
      <c r="ACY51" s="63"/>
      <c r="ACZ51" s="63"/>
      <c r="ADA51" s="63"/>
      <c r="ADB51" s="63"/>
      <c r="ADC51" s="63"/>
      <c r="ADD51" s="63"/>
      <c r="ADE51" s="63"/>
      <c r="ADF51" s="63"/>
      <c r="ADG51" s="63"/>
      <c r="ADH51" s="63"/>
      <c r="ADI51" s="63"/>
      <c r="ADJ51" s="63"/>
      <c r="ADK51" s="63"/>
      <c r="ADL51" s="63"/>
      <c r="ADM51" s="63"/>
      <c r="ADN51" s="63"/>
      <c r="ADO51" s="63"/>
      <c r="ADP51" s="63"/>
      <c r="ADQ51" s="63"/>
      <c r="ADR51" s="63"/>
      <c r="ADS51" s="63"/>
      <c r="ADT51" s="63"/>
      <c r="ADU51" s="63"/>
      <c r="ADV51" s="63"/>
      <c r="ADW51" s="63"/>
      <c r="ADX51" s="63"/>
      <c r="ADY51" s="63"/>
      <c r="ADZ51" s="63"/>
      <c r="AEA51" s="63"/>
      <c r="AEB51" s="63"/>
      <c r="AEC51" s="63"/>
      <c r="AED51" s="63"/>
      <c r="AEE51" s="63"/>
      <c r="AEF51" s="63"/>
      <c r="AEG51" s="63"/>
      <c r="AEH51" s="63"/>
      <c r="AEI51" s="63"/>
      <c r="AEJ51" s="63"/>
      <c r="AEK51" s="63"/>
      <c r="AEL51" s="63"/>
      <c r="AEM51" s="63"/>
      <c r="AEN51" s="63"/>
      <c r="AEO51" s="63"/>
      <c r="AEP51" s="63"/>
      <c r="AEQ51" s="63"/>
      <c r="AER51" s="63"/>
      <c r="AES51" s="63"/>
      <c r="AET51" s="63"/>
      <c r="AEU51" s="63"/>
      <c r="AEV51" s="63"/>
      <c r="AEW51" s="63"/>
      <c r="AEX51" s="63"/>
      <c r="AEY51" s="63"/>
      <c r="AEZ51" s="63"/>
      <c r="AFA51" s="63"/>
      <c r="AFB51" s="63"/>
      <c r="AFC51" s="63"/>
      <c r="AFD51" s="63"/>
      <c r="AFE51" s="63"/>
      <c r="AFF51" s="63"/>
      <c r="AFG51" s="63"/>
      <c r="AFH51" s="63"/>
      <c r="AFI51" s="63"/>
      <c r="AFJ51" s="63"/>
      <c r="AFK51" s="63"/>
      <c r="AFL51" s="63"/>
      <c r="AFM51" s="63"/>
      <c r="AFN51" s="63"/>
      <c r="AFO51" s="63"/>
      <c r="AFP51" s="63"/>
      <c r="AFQ51" s="63"/>
      <c r="AFR51" s="63"/>
      <c r="AFS51" s="63"/>
      <c r="AFT51" s="63"/>
      <c r="AFU51" s="63"/>
      <c r="AFV51" s="63"/>
      <c r="AFW51" s="63"/>
      <c r="AFX51" s="63"/>
      <c r="AFY51" s="63"/>
      <c r="AFZ51" s="63"/>
      <c r="AGA51" s="63"/>
      <c r="AGB51" s="63"/>
      <c r="AGC51" s="63"/>
      <c r="AGD51" s="63"/>
      <c r="AGE51" s="63"/>
      <c r="AGF51" s="63"/>
      <c r="AGG51" s="63"/>
      <c r="AGH51" s="63"/>
      <c r="AGI51" s="63"/>
      <c r="AGJ51" s="63"/>
      <c r="AGK51" s="63"/>
      <c r="AGL51" s="63"/>
      <c r="AGM51" s="63"/>
      <c r="AGN51" s="63"/>
      <c r="AGO51" s="63"/>
      <c r="AGP51" s="63"/>
      <c r="AGQ51" s="63"/>
      <c r="AGR51" s="63"/>
      <c r="AGS51" s="63"/>
      <c r="AGT51" s="63"/>
      <c r="AGU51" s="63"/>
      <c r="AGV51" s="63"/>
      <c r="AGW51" s="63"/>
      <c r="AGX51" s="63"/>
      <c r="AGY51" s="63"/>
      <c r="AGZ51" s="63"/>
      <c r="AHA51" s="63"/>
      <c r="AHB51" s="63"/>
      <c r="AHC51" s="63"/>
      <c r="AHD51" s="63"/>
      <c r="AHE51" s="63"/>
      <c r="AHF51" s="63"/>
      <c r="AHG51" s="63"/>
      <c r="AHH51" s="63"/>
      <c r="AHI51" s="63"/>
      <c r="AHJ51" s="63"/>
      <c r="AHK51" s="63"/>
      <c r="AHL51" s="63"/>
      <c r="AHM51" s="63"/>
      <c r="AHN51" s="63"/>
      <c r="AHO51" s="63"/>
      <c r="AHP51" s="63"/>
      <c r="AHQ51" s="63"/>
      <c r="AHR51" s="63"/>
      <c r="AHS51" s="63"/>
      <c r="AHT51" s="63"/>
      <c r="AHU51" s="63"/>
      <c r="AHV51" s="63"/>
      <c r="AHW51" s="63"/>
      <c r="AHX51" s="63"/>
      <c r="AHY51" s="63"/>
      <c r="AHZ51" s="63"/>
      <c r="AIA51" s="63"/>
      <c r="AIB51" s="63"/>
      <c r="AIC51" s="63"/>
      <c r="AID51" s="63"/>
      <c r="AIE51" s="63"/>
      <c r="AIF51" s="63"/>
      <c r="AIG51" s="63"/>
      <c r="AIH51" s="63"/>
      <c r="AII51" s="63"/>
      <c r="AIJ51" s="63"/>
      <c r="AIK51" s="63"/>
      <c r="AIL51" s="63"/>
      <c r="AIM51" s="63"/>
      <c r="AIN51" s="63"/>
      <c r="AIO51" s="63"/>
      <c r="AIP51" s="63"/>
      <c r="AIQ51" s="63"/>
      <c r="AIR51" s="63"/>
      <c r="AIS51" s="63"/>
      <c r="AIT51" s="63"/>
      <c r="AIU51" s="63"/>
      <c r="AIV51" s="63"/>
      <c r="AIW51" s="63"/>
      <c r="AIX51" s="63"/>
      <c r="AIY51" s="63"/>
      <c r="AIZ51" s="63"/>
      <c r="AJA51" s="63"/>
      <c r="AJB51" s="63"/>
      <c r="AJC51" s="63"/>
      <c r="AJD51" s="63"/>
      <c r="AJE51" s="63"/>
      <c r="AJF51" s="63"/>
      <c r="AJG51" s="63"/>
      <c r="AJH51" s="63"/>
      <c r="AJI51" s="63"/>
      <c r="AJJ51" s="63"/>
      <c r="AJK51" s="63"/>
      <c r="AJL51" s="63"/>
      <c r="AJM51" s="63"/>
      <c r="AJN51" s="63"/>
      <c r="AJO51" s="63"/>
      <c r="AJP51" s="63"/>
      <c r="AJQ51" s="63"/>
      <c r="AJR51" s="63"/>
      <c r="AJS51" s="63"/>
      <c r="AJT51" s="63"/>
      <c r="AJU51" s="63"/>
      <c r="AJV51" s="63"/>
      <c r="AJW51" s="63"/>
      <c r="AJX51" s="63"/>
      <c r="AJY51" s="63"/>
      <c r="AJZ51" s="63"/>
      <c r="AKA51" s="63"/>
      <c r="AKB51" s="63"/>
      <c r="AKC51" s="63"/>
      <c r="AKD51" s="63"/>
      <c r="AKE51" s="63"/>
      <c r="AKF51" s="63"/>
      <c r="AKG51" s="63"/>
      <c r="AKH51" s="63"/>
      <c r="AKI51" s="63"/>
      <c r="AKJ51" s="63"/>
      <c r="AKK51" s="63"/>
      <c r="AKL51" s="63"/>
      <c r="AKM51" s="63"/>
      <c r="AKN51" s="63"/>
      <c r="AKO51" s="63"/>
      <c r="AKP51" s="63"/>
      <c r="AKQ51" s="63"/>
      <c r="AKR51" s="63"/>
      <c r="AKS51" s="63"/>
      <c r="AKT51" s="63"/>
      <c r="AKU51" s="63"/>
      <c r="AKV51" s="63"/>
      <c r="AKW51" s="63"/>
      <c r="AKX51" s="63"/>
      <c r="AKY51" s="63"/>
      <c r="AKZ51" s="63"/>
      <c r="ALA51" s="63"/>
      <c r="ALB51" s="63"/>
      <c r="ALC51" s="63"/>
      <c r="ALD51" s="63"/>
      <c r="ALE51" s="63"/>
      <c r="ALF51" s="63"/>
      <c r="ALG51" s="63"/>
      <c r="ALH51" s="63"/>
      <c r="ALI51" s="63"/>
      <c r="ALJ51" s="63"/>
      <c r="ALK51" s="63"/>
      <c r="ALL51" s="63"/>
      <c r="ALM51" s="63"/>
      <c r="ALN51" s="63"/>
      <c r="ALO51" s="63"/>
      <c r="ALP51" s="63"/>
      <c r="ALQ51" s="63"/>
      <c r="ALR51" s="63"/>
      <c r="ALS51" s="63"/>
      <c r="ALT51" s="63"/>
      <c r="ALU51" s="63"/>
      <c r="ALV51" s="63"/>
      <c r="ALW51" s="63"/>
      <c r="ALX51" s="63"/>
      <c r="ALY51" s="63"/>
      <c r="ALZ51" s="63"/>
      <c r="AMA51" s="63"/>
      <c r="AMB51" s="63"/>
      <c r="AMC51" s="63"/>
      <c r="AMD51" s="63"/>
      <c r="AME51" s="63"/>
      <c r="AMF51" s="63"/>
      <c r="AMG51" s="63"/>
      <c r="AMH51" s="63"/>
      <c r="AMI51" s="63"/>
      <c r="AMJ51" s="63"/>
      <c r="AMK51" s="63"/>
    </row>
    <row r="52" spans="1:5">
      <c r="A52" s="54" t="s">
        <v>14</v>
      </c>
      <c r="B52" s="54" t="s">
        <v>75</v>
      </c>
      <c r="C52" s="66">
        <f>D51</f>
        <v>451.98</v>
      </c>
      <c r="D52" s="66">
        <f>ROUNDDOWN(-C52*0.2,2)</f>
        <v>-90.39</v>
      </c>
      <c r="E52" s="54" t="s">
        <v>37</v>
      </c>
    </row>
    <row r="53" spans="1:5">
      <c r="A53" s="54" t="s">
        <v>17</v>
      </c>
      <c r="B53" s="54" t="s">
        <v>76</v>
      </c>
      <c r="C53" s="66">
        <v>34.09</v>
      </c>
      <c r="D53" s="66">
        <f>C53</f>
        <v>34.09</v>
      </c>
      <c r="E53" s="54" t="s">
        <v>37</v>
      </c>
    </row>
    <row r="54" s="37" customFormat="1" spans="1:5">
      <c r="A54" s="54" t="s">
        <v>19</v>
      </c>
      <c r="B54" s="54" t="s">
        <v>77</v>
      </c>
      <c r="C54" s="67">
        <v>13240.15</v>
      </c>
      <c r="D54" s="66">
        <f>ROUNDDOWN(C54*0.0333%,2)</f>
        <v>4.4</v>
      </c>
      <c r="E54" s="54" t="s">
        <v>37</v>
      </c>
    </row>
    <row r="55" spans="1:5">
      <c r="A55" s="54" t="s">
        <v>21</v>
      </c>
      <c r="B55" s="54" t="s">
        <v>78</v>
      </c>
      <c r="C55" s="66"/>
      <c r="D55" s="66"/>
      <c r="E55" s="54" t="s">
        <v>39</v>
      </c>
    </row>
    <row r="56" s="36" customFormat="1" customHeight="1" spans="1:5">
      <c r="A56" s="57" t="s">
        <v>44</v>
      </c>
      <c r="B56" s="57"/>
      <c r="C56" s="57"/>
      <c r="D56" s="68">
        <f>SUM(D49:D55)</f>
        <v>446.46</v>
      </c>
      <c r="E56" s="54" t="s">
        <v>39</v>
      </c>
    </row>
    <row r="57" customHeight="1" spans="1:5">
      <c r="A57" s="57" t="s">
        <v>79</v>
      </c>
      <c r="B57" s="57"/>
      <c r="C57" s="57"/>
      <c r="D57" s="57"/>
      <c r="E57" s="57"/>
    </row>
    <row r="58" ht="25.5" customHeight="1" spans="1:6">
      <c r="A58" s="54">
        <v>2</v>
      </c>
      <c r="B58" s="54" t="s">
        <v>80</v>
      </c>
      <c r="C58" s="54"/>
      <c r="D58" s="54" t="s">
        <v>34</v>
      </c>
      <c r="E58" s="40" t="s">
        <v>35</v>
      </c>
      <c r="F58" s="69"/>
    </row>
    <row r="59" customHeight="1" spans="1:5">
      <c r="A59" s="54" t="s">
        <v>47</v>
      </c>
      <c r="B59" s="54" t="s">
        <v>48</v>
      </c>
      <c r="C59" s="54"/>
      <c r="D59" s="54">
        <f>D35</f>
        <v>236.05</v>
      </c>
      <c r="E59" s="54" t="s">
        <v>39</v>
      </c>
    </row>
    <row r="60" customHeight="1" spans="1:5">
      <c r="A60" s="54" t="s">
        <v>55</v>
      </c>
      <c r="B60" s="54" t="s">
        <v>56</v>
      </c>
      <c r="C60" s="54"/>
      <c r="D60" s="54">
        <f>D46</f>
        <v>580.07</v>
      </c>
      <c r="E60" s="54" t="s">
        <v>39</v>
      </c>
    </row>
    <row r="61" customHeight="1" spans="1:5">
      <c r="A61" s="54" t="s">
        <v>68</v>
      </c>
      <c r="B61" s="54" t="s">
        <v>69</v>
      </c>
      <c r="C61" s="54"/>
      <c r="D61" s="66">
        <f>D56</f>
        <v>446.46</v>
      </c>
      <c r="E61" s="54" t="s">
        <v>39</v>
      </c>
    </row>
    <row r="62" s="36" customFormat="1" customHeight="1" spans="1:5">
      <c r="A62" s="57" t="s">
        <v>44</v>
      </c>
      <c r="B62" s="57"/>
      <c r="C62" s="57"/>
      <c r="D62" s="68">
        <f>SUM(D59:D61)</f>
        <v>1262.58</v>
      </c>
      <c r="E62" s="57" t="s">
        <v>39</v>
      </c>
    </row>
    <row r="63" customHeight="1" spans="1:5">
      <c r="A63" s="57" t="s">
        <v>81</v>
      </c>
      <c r="B63" s="57"/>
      <c r="C63" s="57"/>
      <c r="D63" s="57"/>
      <c r="E63" s="57"/>
    </row>
    <row r="64" ht="25.5" spans="1:8">
      <c r="A64" s="54">
        <v>3</v>
      </c>
      <c r="B64" s="54" t="s">
        <v>82</v>
      </c>
      <c r="C64" s="54" t="s">
        <v>49</v>
      </c>
      <c r="D64" s="54" t="s">
        <v>34</v>
      </c>
      <c r="E64" s="40" t="s">
        <v>35</v>
      </c>
      <c r="F64" s="70"/>
      <c r="G64" s="70"/>
      <c r="H64" s="55"/>
    </row>
    <row r="65" ht="25.5" spans="1:10">
      <c r="A65" s="54" t="s">
        <v>6</v>
      </c>
      <c r="B65" s="54" t="s">
        <v>83</v>
      </c>
      <c r="C65" s="71">
        <v>0.00462</v>
      </c>
      <c r="D65" s="72">
        <f t="shared" ref="D65:D70" si="1">ROUNDDOWN(C65*$D$27,2)</f>
        <v>7.13</v>
      </c>
      <c r="E65" s="54" t="s">
        <v>39</v>
      </c>
      <c r="G65" s="55"/>
      <c r="I65" s="55"/>
      <c r="J65" s="55"/>
    </row>
    <row r="66" s="37" customFormat="1" ht="25.5" spans="1:11">
      <c r="A66" s="54" t="s">
        <v>9</v>
      </c>
      <c r="B66" s="54" t="s">
        <v>84</v>
      </c>
      <c r="C66" s="73">
        <f>ROUNDDOWN(C65*C44,5)</f>
        <v>0.00036</v>
      </c>
      <c r="D66" s="72">
        <f t="shared" si="1"/>
        <v>0.55</v>
      </c>
      <c r="E66" s="54" t="s">
        <v>39</v>
      </c>
      <c r="G66" s="55"/>
      <c r="H66" s="55"/>
      <c r="I66" s="55"/>
      <c r="J66" s="55"/>
      <c r="K66" s="55"/>
    </row>
    <row r="67" spans="1:11">
      <c r="A67" s="54" t="s">
        <v>12</v>
      </c>
      <c r="B67" s="54" t="s">
        <v>85</v>
      </c>
      <c r="C67" s="73">
        <f>ROUNDDOWN(5%*((1+1/12+1/12/3+(1+1/12+1/12/3)/12))*50%*8%,5)</f>
        <v>0.0024</v>
      </c>
      <c r="D67" s="72">
        <f t="shared" si="1"/>
        <v>3.7</v>
      </c>
      <c r="E67" s="54" t="s">
        <v>39</v>
      </c>
      <c r="G67" s="55"/>
      <c r="H67" s="55"/>
      <c r="I67" s="55"/>
      <c r="K67" s="55"/>
    </row>
    <row r="68" spans="1:9">
      <c r="A68" s="54" t="s">
        <v>14</v>
      </c>
      <c r="B68" s="54" t="s">
        <v>86</v>
      </c>
      <c r="C68" s="71">
        <f>ROUNDDOWN(95%*(1)/30/12*7,5)</f>
        <v>0.01847</v>
      </c>
      <c r="D68" s="72">
        <f t="shared" si="1"/>
        <v>28.53</v>
      </c>
      <c r="E68" s="54" t="s">
        <v>39</v>
      </c>
      <c r="G68" s="55"/>
      <c r="H68" s="55"/>
      <c r="I68" s="55"/>
    </row>
    <row r="69" ht="25.5" spans="1:10">
      <c r="A69" s="54" t="s">
        <v>17</v>
      </c>
      <c r="B69" s="54" t="s">
        <v>87</v>
      </c>
      <c r="C69" s="71">
        <f>ROUNDDOWN(C68*C46,5)</f>
        <v>0.00693</v>
      </c>
      <c r="D69" s="72">
        <f t="shared" si="1"/>
        <v>10.7</v>
      </c>
      <c r="E69" s="54" t="s">
        <v>39</v>
      </c>
      <c r="G69" s="55"/>
      <c r="H69" s="74"/>
      <c r="I69" s="55"/>
      <c r="J69" s="55"/>
    </row>
    <row r="70" spans="1:10">
      <c r="A70" s="54" t="s">
        <v>19</v>
      </c>
      <c r="B70" s="54" t="s">
        <v>88</v>
      </c>
      <c r="C70" s="71">
        <f>ROUNDDOWN(95%*(((1+1/12+1/12/3)+((1)/30/12*7))*50%*8%),5)</f>
        <v>0.04296</v>
      </c>
      <c r="D70" s="72">
        <f t="shared" si="1"/>
        <v>66.37</v>
      </c>
      <c r="E70" s="54" t="s">
        <v>39</v>
      </c>
      <c r="F70" s="75"/>
      <c r="G70" s="76"/>
      <c r="I70" s="87"/>
      <c r="J70" s="55"/>
    </row>
    <row r="71" s="36" customFormat="1" customHeight="1" spans="1:9">
      <c r="A71" s="57" t="s">
        <v>44</v>
      </c>
      <c r="B71" s="57"/>
      <c r="C71" s="64">
        <f>SUM(C65:C70)</f>
        <v>0.07574</v>
      </c>
      <c r="D71" s="77">
        <f>SUM(D65:D70)</f>
        <v>116.98</v>
      </c>
      <c r="E71" s="57" t="s">
        <v>39</v>
      </c>
      <c r="F71" s="78"/>
      <c r="G71" s="79"/>
      <c r="H71" s="80"/>
      <c r="I71" s="96"/>
    </row>
    <row r="72" customHeight="1" spans="1:9">
      <c r="A72" s="57" t="s">
        <v>89</v>
      </c>
      <c r="B72" s="57"/>
      <c r="C72" s="57"/>
      <c r="D72" s="57"/>
      <c r="E72" s="57"/>
      <c r="F72" s="76"/>
      <c r="G72" s="55"/>
      <c r="I72" s="55"/>
    </row>
    <row r="73" customHeight="1" spans="1:7">
      <c r="A73" s="57" t="s">
        <v>90</v>
      </c>
      <c r="B73" s="57"/>
      <c r="C73" s="57"/>
      <c r="D73" s="57"/>
      <c r="E73" s="57"/>
      <c r="F73" s="55"/>
      <c r="G73" s="81"/>
    </row>
    <row r="74" ht="25.5" spans="1:7">
      <c r="A74" s="54" t="s">
        <v>91</v>
      </c>
      <c r="B74" s="54" t="s">
        <v>92</v>
      </c>
      <c r="C74" s="54" t="s">
        <v>49</v>
      </c>
      <c r="D74" s="54" t="s">
        <v>34</v>
      </c>
      <c r="E74" s="40" t="s">
        <v>35</v>
      </c>
      <c r="G74" s="82"/>
    </row>
    <row r="75" spans="1:7">
      <c r="A75" s="54" t="s">
        <v>6</v>
      </c>
      <c r="B75" s="54" t="s">
        <v>93</v>
      </c>
      <c r="C75" s="73">
        <f>ROUNDDOWN(1/11,4)</f>
        <v>0.0909</v>
      </c>
      <c r="D75" s="72">
        <f>ROUNDDOWN(C75*$D$27,2)</f>
        <v>140.43</v>
      </c>
      <c r="E75" s="54" t="s">
        <v>39</v>
      </c>
      <c r="G75" s="83"/>
    </row>
    <row r="76" spans="1:9">
      <c r="A76" s="54" t="s">
        <v>9</v>
      </c>
      <c r="B76" s="54" t="s">
        <v>92</v>
      </c>
      <c r="C76" s="73">
        <f>ROUNDDOWN(1/12/30*4.87,4)</f>
        <v>0.0135</v>
      </c>
      <c r="D76" s="54">
        <f>ROUNDDOWN(C76*$D$27,2)</f>
        <v>20.85</v>
      </c>
      <c r="E76" s="54" t="s">
        <v>39</v>
      </c>
      <c r="G76" s="84"/>
      <c r="I76" s="76"/>
    </row>
    <row r="77" spans="1:7">
      <c r="A77" s="54" t="s">
        <v>12</v>
      </c>
      <c r="B77" s="54" t="s">
        <v>94</v>
      </c>
      <c r="C77" s="73">
        <f>ROUNDDOWN(1/12/30*0.1898,4)</f>
        <v>0.0005</v>
      </c>
      <c r="D77" s="54">
        <f>ROUNDDOWN(C77*$D$27,2)</f>
        <v>0.77</v>
      </c>
      <c r="E77" s="54" t="s">
        <v>39</v>
      </c>
      <c r="G77" s="83"/>
    </row>
    <row r="78" spans="1:7">
      <c r="A78" s="54" t="s">
        <v>14</v>
      </c>
      <c r="B78" s="54" t="s">
        <v>95</v>
      </c>
      <c r="C78" s="73">
        <f>ROUNDDOWN(1/12/30*0.9545,4)</f>
        <v>0.0026</v>
      </c>
      <c r="D78" s="54">
        <f>ROUNDDOWN(C78*$D$27,2)</f>
        <v>4.01</v>
      </c>
      <c r="E78" s="85" t="s">
        <v>39</v>
      </c>
      <c r="G78" s="83"/>
    </row>
    <row r="79" spans="1:8">
      <c r="A79" s="54" t="s">
        <v>17</v>
      </c>
      <c r="B79" s="54" t="s">
        <v>96</v>
      </c>
      <c r="C79" s="73">
        <f>ROUNDDOWN(1/12/30*2.47,4)</f>
        <v>0.0068</v>
      </c>
      <c r="D79" s="54">
        <f>ROUNDDOWN(C79*$D$27,2)</f>
        <v>10.5</v>
      </c>
      <c r="E79" s="86" t="s">
        <v>39</v>
      </c>
      <c r="G79" s="83"/>
      <c r="H79" s="87"/>
    </row>
    <row r="80" spans="1:8">
      <c r="A80" s="54" t="s">
        <v>19</v>
      </c>
      <c r="B80" s="54" t="s">
        <v>97</v>
      </c>
      <c r="C80" s="73"/>
      <c r="D80" s="54"/>
      <c r="E80" s="54" t="s">
        <v>39</v>
      </c>
      <c r="H80" s="88"/>
    </row>
    <row r="81" customHeight="1" spans="1:8">
      <c r="A81" s="57" t="s">
        <v>98</v>
      </c>
      <c r="B81" s="57"/>
      <c r="C81" s="71">
        <f>SUM(C75:C80)</f>
        <v>0.1143</v>
      </c>
      <c r="D81" s="72">
        <f>SUM(D75:D80)</f>
        <v>176.56</v>
      </c>
      <c r="E81" s="54" t="s">
        <v>39</v>
      </c>
      <c r="F81" s="55"/>
      <c r="G81" s="89"/>
      <c r="H81" s="87"/>
    </row>
    <row r="82" ht="25.5" spans="1:7">
      <c r="A82" s="54" t="s">
        <v>21</v>
      </c>
      <c r="B82" s="54" t="s">
        <v>99</v>
      </c>
      <c r="C82" s="73">
        <f>ROUNDDOWN(C81*C35,4)</f>
        <v>0.0174</v>
      </c>
      <c r="D82" s="90">
        <f>ROUNDDOWN(C82*D27,2)</f>
        <v>26.88</v>
      </c>
      <c r="E82" s="54" t="s">
        <v>39</v>
      </c>
      <c r="F82" s="55"/>
      <c r="G82" s="91"/>
    </row>
    <row r="83" ht="25.5" spans="1:7">
      <c r="A83" s="54" t="s">
        <v>64</v>
      </c>
      <c r="B83" s="54" t="s">
        <v>100</v>
      </c>
      <c r="C83" s="73">
        <f>ROUNDDOWN(C81*C46,4)</f>
        <v>0.0429</v>
      </c>
      <c r="D83" s="90">
        <f>ROUNDDOWN(C83*D27,2)</f>
        <v>66.27</v>
      </c>
      <c r="E83" s="54" t="s">
        <v>39</v>
      </c>
      <c r="G83" s="91"/>
    </row>
    <row r="84" ht="25.5" spans="1:6">
      <c r="A84" s="54" t="s">
        <v>101</v>
      </c>
      <c r="B84" s="54" t="s">
        <v>102</v>
      </c>
      <c r="C84" s="73">
        <f>ROUNDDOWN(C71*C81,4)</f>
        <v>0.0086</v>
      </c>
      <c r="D84" s="90">
        <f>ROUNDDOWN(C84*D27,2)</f>
        <v>13.28</v>
      </c>
      <c r="E84" s="54" t="s">
        <v>39</v>
      </c>
      <c r="F84" s="83"/>
    </row>
    <row r="85" s="36" customFormat="1" customHeight="1" spans="1:5">
      <c r="A85" s="57" t="s">
        <v>66</v>
      </c>
      <c r="B85" s="57"/>
      <c r="C85" s="64">
        <f>C84+C83+C82+C81</f>
        <v>0.1832</v>
      </c>
      <c r="D85" s="77">
        <f>SUM(D81:D84)</f>
        <v>282.99</v>
      </c>
      <c r="E85" s="57" t="s">
        <v>39</v>
      </c>
    </row>
    <row r="86" customHeight="1" spans="1:5">
      <c r="A86" s="57" t="s">
        <v>103</v>
      </c>
      <c r="B86" s="57"/>
      <c r="C86" s="57"/>
      <c r="D86" s="57"/>
      <c r="E86" s="57"/>
    </row>
    <row r="87" ht="25.5" customHeight="1" spans="1:5">
      <c r="A87" s="54" t="s">
        <v>104</v>
      </c>
      <c r="B87" s="54" t="s">
        <v>105</v>
      </c>
      <c r="C87" s="54"/>
      <c r="D87" s="54" t="s">
        <v>34</v>
      </c>
      <c r="E87" s="40" t="s">
        <v>35</v>
      </c>
    </row>
    <row r="88" customHeight="1" spans="1:5">
      <c r="A88" s="54" t="s">
        <v>6</v>
      </c>
      <c r="B88" s="54" t="s">
        <v>106</v>
      </c>
      <c r="C88" s="54"/>
      <c r="D88" s="92"/>
      <c r="E88" s="54" t="s">
        <v>39</v>
      </c>
    </row>
    <row r="89" s="36" customFormat="1" customHeight="1" spans="1:5">
      <c r="A89" s="57" t="s">
        <v>44</v>
      </c>
      <c r="B89" s="57"/>
      <c r="C89" s="57"/>
      <c r="D89" s="77"/>
      <c r="E89" s="57" t="s">
        <v>39</v>
      </c>
    </row>
    <row r="90" customHeight="1" spans="1:5">
      <c r="A90" s="57" t="s">
        <v>107</v>
      </c>
      <c r="B90" s="57"/>
      <c r="C90" s="57"/>
      <c r="D90" s="57"/>
      <c r="E90" s="57"/>
    </row>
    <row r="91" ht="25.5" customHeight="1" spans="1:5">
      <c r="A91" s="54">
        <v>4</v>
      </c>
      <c r="B91" s="54" t="s">
        <v>108</v>
      </c>
      <c r="C91" s="54"/>
      <c r="D91" s="54" t="s">
        <v>34</v>
      </c>
      <c r="E91" s="40" t="s">
        <v>35</v>
      </c>
    </row>
    <row r="92" customHeight="1" spans="1:5">
      <c r="A92" s="54" t="s">
        <v>91</v>
      </c>
      <c r="B92" s="54" t="s">
        <v>92</v>
      </c>
      <c r="C92" s="54"/>
      <c r="D92" s="72">
        <f>D85</f>
        <v>282.99</v>
      </c>
      <c r="E92" s="54" t="s">
        <v>39</v>
      </c>
    </row>
    <row r="93" customHeight="1" spans="1:5">
      <c r="A93" s="54" t="s">
        <v>104</v>
      </c>
      <c r="B93" s="54" t="s">
        <v>105</v>
      </c>
      <c r="C93" s="54"/>
      <c r="D93" s="72"/>
      <c r="E93" s="54" t="s">
        <v>39</v>
      </c>
    </row>
    <row r="94" s="36" customFormat="1" customHeight="1" spans="1:5">
      <c r="A94" s="57" t="s">
        <v>44</v>
      </c>
      <c r="B94" s="57"/>
      <c r="C94" s="57"/>
      <c r="D94" s="77">
        <f>SUM(D92:D93)</f>
        <v>282.99</v>
      </c>
      <c r="E94" s="57" t="s">
        <v>39</v>
      </c>
    </row>
    <row r="95" customHeight="1" spans="1:5">
      <c r="A95" s="57" t="s">
        <v>109</v>
      </c>
      <c r="B95" s="57"/>
      <c r="C95" s="57"/>
      <c r="D95" s="57"/>
      <c r="E95" s="57"/>
    </row>
    <row r="96" ht="25.5" customHeight="1" spans="1:5">
      <c r="A96" s="57">
        <v>5</v>
      </c>
      <c r="B96" s="57" t="s">
        <v>110</v>
      </c>
      <c r="C96" s="57"/>
      <c r="D96" s="57" t="s">
        <v>34</v>
      </c>
      <c r="E96" s="39" t="s">
        <v>35</v>
      </c>
    </row>
    <row r="97" customHeight="1" spans="1:5">
      <c r="A97" s="54" t="s">
        <v>6</v>
      </c>
      <c r="B97" s="54" t="s">
        <v>111</v>
      </c>
      <c r="C97" s="54"/>
      <c r="D97" s="66">
        <f>(D94+D71+D62+D27)*1.23%</f>
        <v>39.452004</v>
      </c>
      <c r="E97" s="54" t="s">
        <v>112</v>
      </c>
    </row>
    <row r="98" customHeight="1" spans="1:5">
      <c r="A98" s="54" t="s">
        <v>9</v>
      </c>
      <c r="B98" s="54" t="s">
        <v>113</v>
      </c>
      <c r="C98" s="54"/>
      <c r="D98" s="93"/>
      <c r="E98" s="54" t="s">
        <v>112</v>
      </c>
    </row>
    <row r="99" customHeight="1" spans="1:5">
      <c r="A99" s="54" t="s">
        <v>12</v>
      </c>
      <c r="B99" s="54" t="s">
        <v>78</v>
      </c>
      <c r="C99" s="54"/>
      <c r="D99" s="54"/>
      <c r="E99" s="54"/>
    </row>
    <row r="100" customHeight="1" spans="1:5">
      <c r="A100" s="57" t="s">
        <v>66</v>
      </c>
      <c r="B100" s="57"/>
      <c r="C100" s="57"/>
      <c r="D100" s="94">
        <f>SUM(D97:D99)</f>
        <v>39.452004</v>
      </c>
      <c r="E100" s="54" t="s">
        <v>39</v>
      </c>
    </row>
    <row r="101" customHeight="1" spans="1:5">
      <c r="A101" s="95" t="s">
        <v>114</v>
      </c>
      <c r="B101" s="95"/>
      <c r="C101" s="95"/>
      <c r="D101" s="95"/>
      <c r="E101" s="95"/>
    </row>
    <row r="102" ht="25.5" spans="1:5">
      <c r="A102" s="57">
        <v>6</v>
      </c>
      <c r="B102" s="57" t="s">
        <v>115</v>
      </c>
      <c r="C102" s="57" t="s">
        <v>49</v>
      </c>
      <c r="D102" s="57" t="s">
        <v>34</v>
      </c>
      <c r="E102" s="39" t="s">
        <v>35</v>
      </c>
    </row>
    <row r="103" spans="1:5">
      <c r="A103" s="54" t="s">
        <v>6</v>
      </c>
      <c r="B103" s="54" t="s">
        <v>116</v>
      </c>
      <c r="C103" s="59">
        <v>0.03</v>
      </c>
      <c r="D103" s="66">
        <f>ROUNDDOWN($D$119*C103,2)</f>
        <v>97.4</v>
      </c>
      <c r="E103" s="54" t="s">
        <v>117</v>
      </c>
    </row>
    <row r="104" spans="1:5">
      <c r="A104" s="54" t="s">
        <v>9</v>
      </c>
      <c r="B104" s="54" t="s">
        <v>118</v>
      </c>
      <c r="C104" s="59">
        <v>0.051</v>
      </c>
      <c r="D104" s="66">
        <f>ROUNDDOWN(($D$119+D103)*C104,2)</f>
        <v>170.56</v>
      </c>
      <c r="E104" s="54" t="s">
        <v>117</v>
      </c>
    </row>
    <row r="105" spans="1:8">
      <c r="A105" s="54" t="s">
        <v>12</v>
      </c>
      <c r="B105" s="54" t="s">
        <v>119</v>
      </c>
      <c r="C105" s="59">
        <f>C106+C107+C108</f>
        <v>0.1425</v>
      </c>
      <c r="D105" s="66">
        <f>ROUNDDOWN(C105*$D$111,2)</f>
        <v>584.1</v>
      </c>
      <c r="E105" s="54" t="s">
        <v>39</v>
      </c>
      <c r="H105" s="55"/>
    </row>
    <row r="106" ht="25.5" spans="1:8">
      <c r="A106" s="54"/>
      <c r="B106" s="54" t="s">
        <v>120</v>
      </c>
      <c r="C106" s="59">
        <v>0.0925</v>
      </c>
      <c r="D106" s="66">
        <f>ROUND(C106*$D$111,2)</f>
        <v>379.16</v>
      </c>
      <c r="E106" s="54" t="s">
        <v>39</v>
      </c>
      <c r="H106" s="55"/>
    </row>
    <row r="107" spans="1:5">
      <c r="A107" s="54"/>
      <c r="B107" s="54" t="s">
        <v>121</v>
      </c>
      <c r="C107" s="59">
        <v>0</v>
      </c>
      <c r="D107" s="66">
        <f>C107*$D$111</f>
        <v>0</v>
      </c>
      <c r="E107" s="54" t="s">
        <v>39</v>
      </c>
    </row>
    <row r="108" spans="1:5">
      <c r="A108" s="54"/>
      <c r="B108" s="54" t="s">
        <v>122</v>
      </c>
      <c r="C108" s="59">
        <v>0.05</v>
      </c>
      <c r="D108" s="66">
        <f>ROUNDDOWN(C108*$D$111,2)</f>
        <v>204.94</v>
      </c>
      <c r="E108" s="54" t="s">
        <v>39</v>
      </c>
    </row>
    <row r="109" s="36" customFormat="1" customHeight="1" spans="1:7">
      <c r="A109" s="57" t="s">
        <v>66</v>
      </c>
      <c r="B109" s="57"/>
      <c r="C109" s="57"/>
      <c r="D109" s="68">
        <f>D108+D106+D104+D103</f>
        <v>852.06</v>
      </c>
      <c r="E109" s="54" t="s">
        <v>39</v>
      </c>
      <c r="F109" s="103"/>
      <c r="G109" s="96"/>
    </row>
    <row r="110" customHeight="1" spans="1:7">
      <c r="A110" s="57" t="s">
        <v>123</v>
      </c>
      <c r="B110" s="57"/>
      <c r="C110" s="97">
        <f>1-C105</f>
        <v>0.8575</v>
      </c>
      <c r="D110" s="97"/>
      <c r="E110" s="54" t="s">
        <v>39</v>
      </c>
      <c r="G110" s="55"/>
    </row>
    <row r="111" customHeight="1" spans="1:5">
      <c r="A111" s="57" t="s">
        <v>124</v>
      </c>
      <c r="B111" s="57"/>
      <c r="C111" s="57"/>
      <c r="D111" s="68">
        <f>ROUNDDOWN((D103+D104+D119)/C110,4)</f>
        <v>4098.997</v>
      </c>
      <c r="E111" s="54" t="s">
        <v>39</v>
      </c>
    </row>
    <row r="112" customHeight="1" spans="1:7">
      <c r="A112" s="57" t="s">
        <v>125</v>
      </c>
      <c r="B112" s="57"/>
      <c r="C112" s="57"/>
      <c r="D112" s="57"/>
      <c r="E112" s="57"/>
      <c r="G112" s="55"/>
    </row>
    <row r="113" ht="25.5" customHeight="1" spans="1:5">
      <c r="A113" s="57" t="s">
        <v>126</v>
      </c>
      <c r="B113" s="57"/>
      <c r="C113" s="57"/>
      <c r="D113" s="57" t="s">
        <v>34</v>
      </c>
      <c r="E113" s="39" t="s">
        <v>35</v>
      </c>
    </row>
    <row r="114" customHeight="1" spans="1:7">
      <c r="A114" s="57" t="s">
        <v>6</v>
      </c>
      <c r="B114" s="54" t="s">
        <v>32</v>
      </c>
      <c r="C114" s="54"/>
      <c r="D114" s="66">
        <f>D27</f>
        <v>1544.93</v>
      </c>
      <c r="E114" s="94" t="s">
        <v>39</v>
      </c>
      <c r="G114" s="76"/>
    </row>
    <row r="115" customHeight="1" spans="1:5">
      <c r="A115" s="57" t="s">
        <v>9</v>
      </c>
      <c r="B115" s="54" t="s">
        <v>45</v>
      </c>
      <c r="C115" s="54"/>
      <c r="D115" s="66">
        <f>D62</f>
        <v>1262.58</v>
      </c>
      <c r="E115" s="94" t="s">
        <v>39</v>
      </c>
    </row>
    <row r="116" customHeight="1" spans="1:5">
      <c r="A116" s="57" t="s">
        <v>12</v>
      </c>
      <c r="B116" s="54" t="s">
        <v>81</v>
      </c>
      <c r="C116" s="54"/>
      <c r="D116" s="66">
        <f>D71</f>
        <v>116.98</v>
      </c>
      <c r="E116" s="94" t="s">
        <v>39</v>
      </c>
    </row>
    <row r="117" customHeight="1" spans="1:5">
      <c r="A117" s="57" t="s">
        <v>14</v>
      </c>
      <c r="B117" s="54" t="s">
        <v>89</v>
      </c>
      <c r="C117" s="54"/>
      <c r="D117" s="66">
        <f>D94</f>
        <v>282.99</v>
      </c>
      <c r="E117" s="94" t="s">
        <v>39</v>
      </c>
    </row>
    <row r="118" customHeight="1" spans="1:5">
      <c r="A118" s="57" t="s">
        <v>17</v>
      </c>
      <c r="B118" s="54" t="s">
        <v>109</v>
      </c>
      <c r="C118" s="54"/>
      <c r="D118" s="66">
        <f>D100</f>
        <v>39.452004</v>
      </c>
      <c r="E118" s="94" t="s">
        <v>39</v>
      </c>
    </row>
    <row r="119" s="36" customFormat="1" customHeight="1" spans="1:5">
      <c r="A119" s="57" t="s">
        <v>127</v>
      </c>
      <c r="B119" s="57"/>
      <c r="C119" s="57"/>
      <c r="D119" s="68">
        <f>ROUNDDOWN(D118+D117+D116+D115+D114,2)</f>
        <v>3246.93</v>
      </c>
      <c r="E119" s="98" t="s">
        <v>39</v>
      </c>
    </row>
    <row r="120" customHeight="1" spans="1:5">
      <c r="A120" s="57" t="s">
        <v>19</v>
      </c>
      <c r="B120" s="54" t="s">
        <v>128</v>
      </c>
      <c r="C120" s="54"/>
      <c r="D120" s="66">
        <f>D109</f>
        <v>852.06</v>
      </c>
      <c r="E120" s="94" t="s">
        <v>39</v>
      </c>
    </row>
    <row r="121" s="36" customFormat="1" customHeight="1" spans="1:5">
      <c r="A121" s="57" t="s">
        <v>129</v>
      </c>
      <c r="B121" s="57"/>
      <c r="C121" s="57"/>
      <c r="D121" s="68">
        <f>D120+D119</f>
        <v>4098.99</v>
      </c>
      <c r="E121" s="98" t="s">
        <v>39</v>
      </c>
    </row>
  </sheetData>
  <mergeCells count="80">
    <mergeCell ref="A1:E1"/>
    <mergeCell ref="A2:E2"/>
    <mergeCell ref="A3:E3"/>
    <mergeCell ref="A4:B4"/>
    <mergeCell ref="C4:E4"/>
    <mergeCell ref="A5:B5"/>
    <mergeCell ref="C5:E5"/>
    <mergeCell ref="A6:B6"/>
    <mergeCell ref="C6:E6"/>
    <mergeCell ref="A7:E7"/>
    <mergeCell ref="B8:D8"/>
    <mergeCell ref="B9:D9"/>
    <mergeCell ref="B10:D10"/>
    <mergeCell ref="B11:D11"/>
    <mergeCell ref="B12:D12"/>
    <mergeCell ref="B13:D13"/>
    <mergeCell ref="B14:D14"/>
    <mergeCell ref="A15:E15"/>
    <mergeCell ref="B16:D16"/>
    <mergeCell ref="B17:D17"/>
    <mergeCell ref="A18:D18"/>
    <mergeCell ref="A19:E19"/>
    <mergeCell ref="B20:C20"/>
    <mergeCell ref="B21:C21"/>
    <mergeCell ref="B22:C22"/>
    <mergeCell ref="B23:C23"/>
    <mergeCell ref="B24:C24"/>
    <mergeCell ref="B25:C25"/>
    <mergeCell ref="B26:C26"/>
    <mergeCell ref="A27:C27"/>
    <mergeCell ref="A28:E28"/>
    <mergeCell ref="A29:E29"/>
    <mergeCell ref="A33:B33"/>
    <mergeCell ref="A35:B35"/>
    <mergeCell ref="A36:E36"/>
    <mergeCell ref="A46:B46"/>
    <mergeCell ref="A47:E47"/>
    <mergeCell ref="A56:C56"/>
    <mergeCell ref="A57:E57"/>
    <mergeCell ref="B58:C58"/>
    <mergeCell ref="B59:C59"/>
    <mergeCell ref="B60:C60"/>
    <mergeCell ref="B61:C61"/>
    <mergeCell ref="A62:C62"/>
    <mergeCell ref="A63:E63"/>
    <mergeCell ref="A71:B71"/>
    <mergeCell ref="A72:E72"/>
    <mergeCell ref="A73:E73"/>
    <mergeCell ref="A81:B81"/>
    <mergeCell ref="A85:B85"/>
    <mergeCell ref="A86:E86"/>
    <mergeCell ref="B87:C87"/>
    <mergeCell ref="B88:C88"/>
    <mergeCell ref="A89:C89"/>
    <mergeCell ref="A90:E90"/>
    <mergeCell ref="B91:C91"/>
    <mergeCell ref="B92:C92"/>
    <mergeCell ref="B93:C93"/>
    <mergeCell ref="A94:C94"/>
    <mergeCell ref="A95:E95"/>
    <mergeCell ref="B96:C96"/>
    <mergeCell ref="B97:C97"/>
    <mergeCell ref="B98:C98"/>
    <mergeCell ref="B99:C99"/>
    <mergeCell ref="A100:C100"/>
    <mergeCell ref="A101:E101"/>
    <mergeCell ref="A109:C109"/>
    <mergeCell ref="A110:B110"/>
    <mergeCell ref="C110:D110"/>
    <mergeCell ref="A111:C111"/>
    <mergeCell ref="A112:E112"/>
    <mergeCell ref="A113:C113"/>
    <mergeCell ref="B114:C114"/>
    <mergeCell ref="B115:C115"/>
    <mergeCell ref="B116:C116"/>
    <mergeCell ref="B117:C117"/>
    <mergeCell ref="B118:C118"/>
    <mergeCell ref="A119:C119"/>
    <mergeCell ref="B120:C120"/>
    <mergeCell ref="A121:C121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138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99" t="s">
        <v>139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spans="1:5">
      <c r="A15" s="43" t="s">
        <v>132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141</v>
      </c>
      <c r="B16" s="50"/>
      <c r="C16" s="50"/>
      <c r="D16" s="50"/>
      <c r="E16" s="51">
        <v>1124.5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1124.5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/>
      <c r="E21" s="54" t="s">
        <v>39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1124.5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93.67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31.26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124.93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46.89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171.82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224.9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28.11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16.86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11.24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6.74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2.24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89.96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42.16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422.21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3.45</v>
      </c>
      <c r="D47" s="65">
        <f>ROUNDDOWN(C47*21.73*2,2)</f>
        <v>149.93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1124.5</v>
      </c>
      <c r="D48" s="66">
        <f>ROUNDDOWN(-C48*0.06,2)</f>
        <v>-67.47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482.54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171.82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422.21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482.54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1076.57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5.19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v>0.00036</v>
      </c>
      <c r="D64" s="72">
        <f t="shared" si="1"/>
        <v>0.4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2.69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20.76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7.79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48.3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85.13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102.21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15.18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0.56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2.92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7.64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128.51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19.56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48.24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9.67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205.98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205.98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205.98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36.13661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271.398402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307.535012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83.99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147.06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503.65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326.93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176.72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734.7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3534.4139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1124.5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1076.57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85.13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205.98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307.535012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2799.71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734.7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3534.41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0416666666667" right="0.510416666666667" top="0.7875" bottom="0.7875" header="0.510416666666667" footer="0.510416666666667"/>
  <pageSetup paperSize="9" scale="70" firstPageNumber="0" fitToHeight="2" orientation="portrait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138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99" t="s">
        <v>139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38.25" spans="1:5">
      <c r="A15" s="43" t="s">
        <v>134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141</v>
      </c>
      <c r="B16" s="50"/>
      <c r="C16" s="50"/>
      <c r="D16" s="50"/>
      <c r="E16" s="51">
        <v>1124.5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1124.5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>
        <f>E11*0.4</f>
        <v>399.2</v>
      </c>
      <c r="E21" s="54" t="s">
        <v>131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1523.7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126.92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42.35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169.27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63.53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232.8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304.74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38.09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22.85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15.23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9.14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3.04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121.89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57.13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572.11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3.45</v>
      </c>
      <c r="D47" s="65">
        <f>ROUNDDOWN(C47*21.73*2,2)</f>
        <v>149.93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1124.5</v>
      </c>
      <c r="D48" s="66">
        <v>-67.47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482.54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232.8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572.11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482.54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1287.45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7.03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0.54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3.65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28.14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10.55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65.45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115.36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138.5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20.56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0.76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3.96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10.36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174.14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26.51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65.36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13.1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279.11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279.11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279.11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46.48149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349.092018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395.573508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108.03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189.17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647.83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420.53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227.31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945.04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4546.2274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1523.7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1287.45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115.36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279.11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395.573508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3601.19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945.04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4546.23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0416666666667" right="0.510416666666667" top="0.7875" bottom="0.7875" header="0.510416666666667" footer="0.510416666666667"/>
  <pageSetup paperSize="9" scale="70" firstPageNumber="0" fitToHeight="2" orientation="portrait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142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42" t="s">
        <v>143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63.75" spans="1:5">
      <c r="A15" s="43" t="s">
        <v>144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145</v>
      </c>
      <c r="B16" s="50"/>
      <c r="C16" s="50"/>
      <c r="D16" s="50"/>
      <c r="E16" s="51">
        <v>1124.5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1124.5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>
        <f>E11*0.4</f>
        <v>399.2</v>
      </c>
      <c r="E21" s="54" t="s">
        <v>39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1523.7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126.92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42.35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169.27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63.53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232.8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304.74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38.09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22.85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15.23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9.14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3.04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121.89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57.13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572.11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4.5</v>
      </c>
      <c r="D47" s="65">
        <f>ROUNDDOWN(C47*21.73*2,2)</f>
        <v>195.57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1124.5</v>
      </c>
      <c r="D48" s="66">
        <f>ROUNDDOWN(-C48*0.06,2)</f>
        <v>-67.47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50.77</v>
      </c>
      <c r="D51" s="66">
        <f>C51</f>
        <v>50.77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544.86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232.8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572.11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544.86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1349.77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7.03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0.54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3.65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28.14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v>0.00693</v>
      </c>
      <c r="D67" s="72">
        <f t="shared" si="1"/>
        <v>10.55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65.45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115.36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138.5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20.56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0.76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3.96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10.36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174.14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26.51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65.36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13.1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279.11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279.11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279.11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47.38513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355.878666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403.263796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110.13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192.84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660.43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428.7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231.73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963.4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4634.6005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1523.7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1349.77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115.36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279.11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403.263796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3671.2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963.4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4634.6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0416666666667" right="0.510416666666667" top="0.7875" bottom="0.7875" header="0.510416666666667" footer="0.510416666666667"/>
  <pageSetup paperSize="9" scale="70" firstPageNumber="0" fitToHeight="2" orientation="portrait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4"/>
  <sheetViews>
    <sheetView topLeftCell="A61" workbookViewId="0">
      <selection activeCell="K85" sqref="K85"/>
    </sheetView>
  </sheetViews>
  <sheetFormatPr defaultColWidth="9" defaultRowHeight="15"/>
  <cols>
    <col min="1" max="1" width="11.5714285714286" customWidth="1"/>
    <col min="2" max="2" width="21" customWidth="1"/>
    <col min="3" max="3" width="11" style="17" customWidth="1"/>
    <col min="4" max="4" width="13.4285714285714" customWidth="1"/>
    <col min="5" max="5" width="12" customWidth="1"/>
    <col min="6" max="6" width="15.4285714285714" customWidth="1"/>
    <col min="7" max="7" width="15" customWidth="1"/>
    <col min="8" max="8" width="9.57142857142857" customWidth="1"/>
    <col min="9" max="9" width="12.2857142857143" customWidth="1"/>
    <col min="10" max="10" width="13.4285714285714" customWidth="1"/>
    <col min="11" max="11" width="14.8571428571429" customWidth="1"/>
    <col min="13" max="13" width="13.2857142857143" customWidth="1"/>
    <col min="14" max="15" width="9.57142857142857" customWidth="1"/>
  </cols>
  <sheetData>
    <row r="1" spans="1:11">
      <c r="A1" s="18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8.25" spans="1:11">
      <c r="A2" s="19"/>
      <c r="B2" s="20" t="s">
        <v>147</v>
      </c>
      <c r="C2" s="21" t="s">
        <v>148</v>
      </c>
      <c r="D2" s="19" t="s">
        <v>149</v>
      </c>
      <c r="E2" s="19" t="s">
        <v>150</v>
      </c>
      <c r="F2" s="19" t="s">
        <v>151</v>
      </c>
      <c r="G2" s="19" t="s">
        <v>152</v>
      </c>
      <c r="H2" s="19" t="s">
        <v>153</v>
      </c>
      <c r="I2" s="19" t="s">
        <v>154</v>
      </c>
      <c r="J2" s="19" t="s">
        <v>155</v>
      </c>
      <c r="K2" s="19" t="s">
        <v>156</v>
      </c>
    </row>
    <row r="3" spans="1:11">
      <c r="A3" s="22" t="s">
        <v>157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3" t="s">
        <v>158</v>
      </c>
      <c r="B4" s="24" t="s">
        <v>159</v>
      </c>
      <c r="C4" s="25">
        <v>949.86</v>
      </c>
      <c r="D4" s="23">
        <v>1200</v>
      </c>
      <c r="E4" s="23">
        <v>30</v>
      </c>
      <c r="F4" s="23" t="s">
        <v>160</v>
      </c>
      <c r="G4" s="26">
        <f>G5/E4</f>
        <v>2.77777777777778e-5</v>
      </c>
      <c r="H4" s="27">
        <f>'Encarregado - OP'!D121</f>
        <v>4098.99</v>
      </c>
      <c r="I4" s="27">
        <f>G4*H4</f>
        <v>0.113860833333333</v>
      </c>
      <c r="J4" s="27">
        <f>I4+I5</f>
        <v>2.97281083333333</v>
      </c>
      <c r="K4" s="27">
        <f>J4*C4</f>
        <v>2823.75409815</v>
      </c>
    </row>
    <row r="5" spans="1:11">
      <c r="A5" s="23"/>
      <c r="B5" s="24"/>
      <c r="C5" s="25"/>
      <c r="D5" s="23"/>
      <c r="E5" s="23"/>
      <c r="F5" s="23" t="s">
        <v>161</v>
      </c>
      <c r="G5" s="26">
        <f>1/D4</f>
        <v>0.000833333333333333</v>
      </c>
      <c r="H5" s="27">
        <f>'Servente - op'!D119</f>
        <v>3430.74</v>
      </c>
      <c r="I5" s="27">
        <f t="shared" ref="I5:I29" si="0">G5*H5</f>
        <v>2.85895</v>
      </c>
      <c r="J5" s="27"/>
      <c r="K5" s="27"/>
    </row>
    <row r="6" spans="1:11">
      <c r="A6" s="23"/>
      <c r="B6" s="24" t="s">
        <v>162</v>
      </c>
      <c r="C6" s="25">
        <v>47700.71</v>
      </c>
      <c r="D6" s="23">
        <v>1200</v>
      </c>
      <c r="E6" s="23">
        <v>30</v>
      </c>
      <c r="F6" s="23" t="s">
        <v>160</v>
      </c>
      <c r="G6" s="26">
        <f t="shared" ref="G6" si="1">G7/E6</f>
        <v>2.77777777777778e-5</v>
      </c>
      <c r="H6" s="27">
        <f>'Encarregado - OP'!D121</f>
        <v>4098.99</v>
      </c>
      <c r="I6" s="27">
        <f t="shared" si="0"/>
        <v>0.113860833333333</v>
      </c>
      <c r="J6" s="27">
        <f>I6+I7</f>
        <v>2.97281083333333</v>
      </c>
      <c r="K6" s="27">
        <f t="shared" ref="K6" si="2">J6*C6</f>
        <v>141805.187445692</v>
      </c>
    </row>
    <row r="7" spans="1:11">
      <c r="A7" s="23"/>
      <c r="B7" s="24"/>
      <c r="C7" s="25"/>
      <c r="D7" s="23"/>
      <c r="E7" s="23"/>
      <c r="F7" s="23" t="s">
        <v>161</v>
      </c>
      <c r="G7" s="26">
        <f t="shared" ref="G7" si="3">1/D6</f>
        <v>0.000833333333333333</v>
      </c>
      <c r="H7" s="27">
        <f>'Servente - op'!D119</f>
        <v>3430.74</v>
      </c>
      <c r="I7" s="27">
        <f t="shared" si="0"/>
        <v>2.85895</v>
      </c>
      <c r="J7" s="27"/>
      <c r="K7" s="27"/>
    </row>
    <row r="8" spans="1:11">
      <c r="A8" s="23"/>
      <c r="B8" s="24" t="s">
        <v>163</v>
      </c>
      <c r="C8" s="25">
        <v>19161.25</v>
      </c>
      <c r="D8" s="23">
        <v>450</v>
      </c>
      <c r="E8" s="23">
        <v>30</v>
      </c>
      <c r="F8" s="23" t="s">
        <v>160</v>
      </c>
      <c r="G8" s="26">
        <f t="shared" ref="G8:G10" si="4">G9/E8</f>
        <v>7.40740740740741e-5</v>
      </c>
      <c r="H8" s="27">
        <f>'Encarregado - OP'!D121</f>
        <v>4098.99</v>
      </c>
      <c r="I8" s="27">
        <f t="shared" si="0"/>
        <v>0.303628888888889</v>
      </c>
      <c r="J8" s="27">
        <f>I8+I9</f>
        <v>7.92749555555555</v>
      </c>
      <c r="K8" s="27">
        <f t="shared" ref="K8:K10" si="5">J8*C8</f>
        <v>151900.724213889</v>
      </c>
    </row>
    <row r="9" spans="1:11">
      <c r="A9" s="23"/>
      <c r="B9" s="24"/>
      <c r="C9" s="25"/>
      <c r="D9" s="23"/>
      <c r="E9" s="23"/>
      <c r="F9" s="23" t="s">
        <v>161</v>
      </c>
      <c r="G9" s="26">
        <f t="shared" ref="G9:G11" si="6">1/D8</f>
        <v>0.00222222222222222</v>
      </c>
      <c r="H9" s="27">
        <f>'Servente - op'!D119</f>
        <v>3430.74</v>
      </c>
      <c r="I9" s="27">
        <f t="shared" si="0"/>
        <v>7.62386666666667</v>
      </c>
      <c r="J9" s="27"/>
      <c r="K9" s="27"/>
    </row>
    <row r="10" spans="1:11">
      <c r="A10" s="23"/>
      <c r="B10" s="24" t="s">
        <v>164</v>
      </c>
      <c r="C10" s="25">
        <v>1768.67</v>
      </c>
      <c r="D10" s="23">
        <v>2500</v>
      </c>
      <c r="E10" s="23">
        <v>30</v>
      </c>
      <c r="F10" s="23" t="s">
        <v>160</v>
      </c>
      <c r="G10" s="26">
        <f t="shared" si="4"/>
        <v>1.33333333333333e-5</v>
      </c>
      <c r="H10" s="27">
        <f>'Encarregado - OP'!D121</f>
        <v>4098.99</v>
      </c>
      <c r="I10" s="27">
        <f t="shared" si="0"/>
        <v>0.0546532</v>
      </c>
      <c r="J10" s="27">
        <f>I10+I11</f>
        <v>1.7580292</v>
      </c>
      <c r="K10" s="27">
        <f t="shared" si="5"/>
        <v>3109.373505164</v>
      </c>
    </row>
    <row r="11" spans="1:11">
      <c r="A11" s="23"/>
      <c r="B11" s="24"/>
      <c r="C11" s="25"/>
      <c r="D11" s="23"/>
      <c r="E11" s="23"/>
      <c r="F11" s="23" t="s">
        <v>161</v>
      </c>
      <c r="G11" s="26">
        <f t="shared" si="6"/>
        <v>0.0004</v>
      </c>
      <c r="H11" s="27">
        <f>'Servente-op-periculosidade'!D119</f>
        <v>4258.44</v>
      </c>
      <c r="I11" s="27">
        <f t="shared" si="0"/>
        <v>1.703376</v>
      </c>
      <c r="J11" s="27"/>
      <c r="K11" s="27"/>
    </row>
    <row r="12" spans="1:11">
      <c r="A12" s="23"/>
      <c r="B12" s="24" t="s">
        <v>165</v>
      </c>
      <c r="C12" s="25">
        <v>1398.12</v>
      </c>
      <c r="D12" s="23">
        <v>2500</v>
      </c>
      <c r="E12" s="23">
        <v>30</v>
      </c>
      <c r="F12" s="23" t="s">
        <v>160</v>
      </c>
      <c r="G12" s="26">
        <f t="shared" ref="G12" si="7">G13/E12</f>
        <v>1.33333333333333e-5</v>
      </c>
      <c r="H12" s="27">
        <f>'Encarregado - OP'!D121</f>
        <v>4098.99</v>
      </c>
      <c r="I12" s="27">
        <f t="shared" si="0"/>
        <v>0.0546532</v>
      </c>
      <c r="J12" s="27">
        <f t="shared" ref="J12" si="8">I12+I13</f>
        <v>1.4269492</v>
      </c>
      <c r="K12" s="27">
        <f t="shared" ref="K12" si="9">J12*C12</f>
        <v>1995.046215504</v>
      </c>
    </row>
    <row r="13" spans="1:11">
      <c r="A13" s="23"/>
      <c r="B13" s="24"/>
      <c r="C13" s="25"/>
      <c r="D13" s="23"/>
      <c r="E13" s="23"/>
      <c r="F13" s="23" t="s">
        <v>161</v>
      </c>
      <c r="G13" s="26">
        <f t="shared" ref="G13" si="10">1/D12</f>
        <v>0.0004</v>
      </c>
      <c r="H13" s="27">
        <f>'Servente - op'!D119</f>
        <v>3430.74</v>
      </c>
      <c r="I13" s="27">
        <f t="shared" si="0"/>
        <v>1.372296</v>
      </c>
      <c r="J13" s="27"/>
      <c r="K13" s="27"/>
    </row>
    <row r="14" spans="1:11">
      <c r="A14" s="23"/>
      <c r="B14" s="24" t="s">
        <v>166</v>
      </c>
      <c r="C14" s="25">
        <v>1047.11</v>
      </c>
      <c r="D14" s="23">
        <v>1800</v>
      </c>
      <c r="E14" s="23">
        <v>30</v>
      </c>
      <c r="F14" s="23" t="s">
        <v>160</v>
      </c>
      <c r="G14" s="26">
        <f t="shared" ref="G14" si="11">G15/E14</f>
        <v>1.85185185185185e-5</v>
      </c>
      <c r="H14" s="27">
        <f>'Encarregado - OP'!D121</f>
        <v>4098.99</v>
      </c>
      <c r="I14" s="27">
        <f t="shared" si="0"/>
        <v>0.0759072222222222</v>
      </c>
      <c r="J14" s="27">
        <f t="shared" ref="J14" si="12">I14+I15</f>
        <v>1.98187388888889</v>
      </c>
      <c r="K14" s="27">
        <f t="shared" ref="K14" si="13">J14*C14</f>
        <v>2075.23996779444</v>
      </c>
    </row>
    <row r="15" spans="1:11">
      <c r="A15" s="23"/>
      <c r="B15" s="24"/>
      <c r="C15" s="25"/>
      <c r="D15" s="23"/>
      <c r="E15" s="23"/>
      <c r="F15" s="23" t="s">
        <v>161</v>
      </c>
      <c r="G15" s="26">
        <f t="shared" ref="G15" si="14">1/D14</f>
        <v>0.000555555555555556</v>
      </c>
      <c r="H15" s="27">
        <f>'Servente - op'!D119</f>
        <v>3430.74</v>
      </c>
      <c r="I15" s="27">
        <f t="shared" si="0"/>
        <v>1.90596666666667</v>
      </c>
      <c r="J15" s="27"/>
      <c r="K15" s="27"/>
    </row>
    <row r="16" spans="1:13">
      <c r="A16" s="23"/>
      <c r="B16" s="24" t="s">
        <v>167</v>
      </c>
      <c r="C16" s="25">
        <v>8022.76</v>
      </c>
      <c r="D16" s="23">
        <v>1500</v>
      </c>
      <c r="E16" s="23">
        <v>30</v>
      </c>
      <c r="F16" s="23" t="s">
        <v>160</v>
      </c>
      <c r="G16" s="26">
        <f t="shared" ref="G16" si="15">G17/E16</f>
        <v>2.22222222222222e-5</v>
      </c>
      <c r="H16" s="27">
        <f>'Encarregado - OP'!D121</f>
        <v>4098.99</v>
      </c>
      <c r="I16" s="27">
        <f t="shared" si="0"/>
        <v>0.0910886666666667</v>
      </c>
      <c r="J16" s="27">
        <f t="shared" ref="J16" si="16">I16+I17</f>
        <v>2.37824866666667</v>
      </c>
      <c r="K16" s="27">
        <f t="shared" ref="K16" si="17">J16*C16</f>
        <v>19080.1182729867</v>
      </c>
      <c r="M16" s="30"/>
    </row>
    <row r="17" spans="1:11">
      <c r="A17" s="23"/>
      <c r="B17" s="24"/>
      <c r="C17" s="25"/>
      <c r="D17" s="23"/>
      <c r="E17" s="23"/>
      <c r="F17" s="23" t="s">
        <v>161</v>
      </c>
      <c r="G17" s="26">
        <f t="shared" ref="G17" si="18">1/D16</f>
        <v>0.000666666666666667</v>
      </c>
      <c r="H17" s="27">
        <f>'Servente - op'!D119</f>
        <v>3430.74</v>
      </c>
      <c r="I17" s="27">
        <f t="shared" si="0"/>
        <v>2.28716</v>
      </c>
      <c r="J17" s="27"/>
      <c r="K17" s="27"/>
    </row>
    <row r="18" spans="1:14">
      <c r="A18" s="23"/>
      <c r="B18" s="24" t="s">
        <v>168</v>
      </c>
      <c r="C18" s="25">
        <v>3196.57</v>
      </c>
      <c r="D18" s="23">
        <v>300</v>
      </c>
      <c r="E18" s="23">
        <v>30</v>
      </c>
      <c r="F18" s="23" t="s">
        <v>160</v>
      </c>
      <c r="G18" s="26">
        <f t="shared" ref="G18" si="19">G19/E18</f>
        <v>0.000111111111111111</v>
      </c>
      <c r="H18" s="27">
        <f>'Encarregado - OP'!D121</f>
        <v>4098.99</v>
      </c>
      <c r="I18" s="27">
        <f t="shared" si="0"/>
        <v>0.455443333333333</v>
      </c>
      <c r="J18" s="27">
        <f t="shared" ref="J18" si="20">I18+I19</f>
        <v>15.2640433333333</v>
      </c>
      <c r="K18" s="27">
        <f t="shared" ref="K18" si="21">J18*C18</f>
        <v>48792.5829980333</v>
      </c>
      <c r="N18" s="30"/>
    </row>
    <row r="19" spans="1:11">
      <c r="A19" s="23"/>
      <c r="B19" s="24"/>
      <c r="C19" s="25"/>
      <c r="D19" s="23"/>
      <c r="E19" s="23"/>
      <c r="F19" s="23" t="s">
        <v>161</v>
      </c>
      <c r="G19" s="26">
        <f t="shared" ref="G19" si="22">1/D18</f>
        <v>0.00333333333333333</v>
      </c>
      <c r="H19" s="27">
        <f>'Servente-op-insal. - Grau Máx.'!D119</f>
        <v>4442.58</v>
      </c>
      <c r="I19" s="27">
        <f t="shared" si="0"/>
        <v>14.8086</v>
      </c>
      <c r="J19" s="27"/>
      <c r="K19" s="27"/>
    </row>
    <row r="20" spans="1:15">
      <c r="A20" s="23" t="s">
        <v>169</v>
      </c>
      <c r="B20" s="24" t="s">
        <v>170</v>
      </c>
      <c r="C20" s="25">
        <v>9256.43</v>
      </c>
      <c r="D20" s="23">
        <v>2700</v>
      </c>
      <c r="E20" s="23">
        <v>30</v>
      </c>
      <c r="F20" s="23" t="s">
        <v>160</v>
      </c>
      <c r="G20" s="26">
        <f t="shared" ref="G20" si="23">G21/E20</f>
        <v>1.23456790123457e-5</v>
      </c>
      <c r="H20" s="27">
        <f>'Encarregado - OP'!D121</f>
        <v>4098.99</v>
      </c>
      <c r="I20" s="27">
        <f t="shared" si="0"/>
        <v>0.0506048148148148</v>
      </c>
      <c r="J20" s="27">
        <f>I20+I21</f>
        <v>1.32124925925926</v>
      </c>
      <c r="K20" s="29">
        <f t="shared" ref="K20" si="24">J20*C20</f>
        <v>12230.0512808852</v>
      </c>
      <c r="M20" s="30"/>
      <c r="O20" s="30"/>
    </row>
    <row r="21" spans="1:11">
      <c r="A21" s="23"/>
      <c r="B21" s="24"/>
      <c r="C21" s="25"/>
      <c r="D21" s="23"/>
      <c r="E21" s="23"/>
      <c r="F21" s="23" t="s">
        <v>161</v>
      </c>
      <c r="G21" s="26">
        <f t="shared" ref="G21" si="25">1/D20</f>
        <v>0.00037037037037037</v>
      </c>
      <c r="H21" s="27">
        <f>'Servente - op'!D119</f>
        <v>3430.74</v>
      </c>
      <c r="I21" s="27">
        <f t="shared" si="0"/>
        <v>1.27064444444444</v>
      </c>
      <c r="J21" s="27"/>
      <c r="K21" s="29"/>
    </row>
    <row r="22" spans="1:11">
      <c r="A22" s="20" t="s">
        <v>171</v>
      </c>
      <c r="B22" s="24" t="s">
        <v>172</v>
      </c>
      <c r="C22" s="25">
        <v>1492.54</v>
      </c>
      <c r="D22" s="23">
        <v>450</v>
      </c>
      <c r="E22" s="23">
        <v>30</v>
      </c>
      <c r="F22" s="23" t="s">
        <v>160</v>
      </c>
      <c r="G22" s="26">
        <f t="shared" ref="G22" si="26">G23/E22</f>
        <v>7.40740740740741e-5</v>
      </c>
      <c r="H22" s="27">
        <f>'Encarregado - OP'!D121</f>
        <v>4098.99</v>
      </c>
      <c r="I22" s="27">
        <f t="shared" si="0"/>
        <v>0.303628888888889</v>
      </c>
      <c r="J22" s="27">
        <f t="shared" ref="J22" si="27">I22+I23</f>
        <v>9.05178444444445</v>
      </c>
      <c r="K22" s="27">
        <f t="shared" ref="K22" si="28">J22*C22</f>
        <v>13510.1503547111</v>
      </c>
    </row>
    <row r="23" spans="1:13">
      <c r="A23" s="20"/>
      <c r="B23" s="24"/>
      <c r="C23" s="25"/>
      <c r="D23" s="23"/>
      <c r="E23" s="23"/>
      <c r="F23" s="23" t="s">
        <v>161</v>
      </c>
      <c r="G23" s="26">
        <f t="shared" ref="G23" si="29">1/D22</f>
        <v>0.00222222222222222</v>
      </c>
      <c r="H23" s="27">
        <f>'Servente-op-insal. - Grau Médio'!D119</f>
        <v>3936.67</v>
      </c>
      <c r="I23" s="27">
        <f t="shared" si="0"/>
        <v>8.74815555555556</v>
      </c>
      <c r="J23" s="27"/>
      <c r="K23" s="27"/>
      <c r="M23" s="30"/>
    </row>
    <row r="24" spans="1:13">
      <c r="A24" s="20"/>
      <c r="B24" s="24" t="s">
        <v>173</v>
      </c>
      <c r="C24" s="25">
        <v>147.49</v>
      </c>
      <c r="D24" s="23">
        <v>450</v>
      </c>
      <c r="E24" s="23">
        <v>30</v>
      </c>
      <c r="F24" s="23" t="s">
        <v>160</v>
      </c>
      <c r="G24" s="26">
        <f t="shared" ref="G24" si="30">G25/E24</f>
        <v>7.40740740740741e-5</v>
      </c>
      <c r="H24" s="27">
        <f>'Encarregado - OP'!D121</f>
        <v>4098.99</v>
      </c>
      <c r="I24" s="27">
        <f t="shared" si="0"/>
        <v>0.303628888888889</v>
      </c>
      <c r="J24" s="27">
        <f>I24+I25</f>
        <v>9.05178444444445</v>
      </c>
      <c r="K24" s="27">
        <f t="shared" ref="K24" si="31">J24*C24</f>
        <v>1335.04768771111</v>
      </c>
      <c r="M24" s="30"/>
    </row>
    <row r="25" spans="1:13">
      <c r="A25" s="20"/>
      <c r="B25" s="24"/>
      <c r="C25" s="25"/>
      <c r="D25" s="23"/>
      <c r="E25" s="23"/>
      <c r="F25" s="23" t="s">
        <v>161</v>
      </c>
      <c r="G25" s="26">
        <f t="shared" ref="G25" si="32">1/D24</f>
        <v>0.00222222222222222</v>
      </c>
      <c r="H25" s="27">
        <f>'Servente-op-insal. - Grau Médio'!D119</f>
        <v>3936.67</v>
      </c>
      <c r="I25" s="27">
        <f t="shared" si="0"/>
        <v>8.74815555555556</v>
      </c>
      <c r="J25" s="27"/>
      <c r="K25" s="27"/>
      <c r="M25" s="30"/>
    </row>
    <row r="26" spans="1:11">
      <c r="A26" s="20"/>
      <c r="B26" s="24" t="s">
        <v>174</v>
      </c>
      <c r="C26" s="25">
        <v>228.62</v>
      </c>
      <c r="D26" s="23">
        <v>450</v>
      </c>
      <c r="E26" s="23">
        <v>30</v>
      </c>
      <c r="F26" s="23" t="s">
        <v>160</v>
      </c>
      <c r="G26" s="26">
        <f t="shared" ref="G26" si="33">G27/E26</f>
        <v>7.40740740740741e-5</v>
      </c>
      <c r="H26" s="27">
        <f>'Encarregado - OP'!D121</f>
        <v>4098.99</v>
      </c>
      <c r="I26" s="27">
        <f t="shared" si="0"/>
        <v>0.303628888888889</v>
      </c>
      <c r="J26" s="27">
        <f t="shared" ref="J26" si="34">I26+I27</f>
        <v>9.05178444444445</v>
      </c>
      <c r="K26" s="27">
        <f t="shared" ref="K26" si="35">J26*C26</f>
        <v>2069.41895968889</v>
      </c>
    </row>
    <row r="27" spans="1:11">
      <c r="A27" s="20"/>
      <c r="B27" s="24"/>
      <c r="C27" s="25"/>
      <c r="D27" s="23"/>
      <c r="E27" s="23"/>
      <c r="F27" s="23" t="s">
        <v>161</v>
      </c>
      <c r="G27" s="26">
        <f t="shared" ref="G27" si="36">1/D26</f>
        <v>0.00222222222222222</v>
      </c>
      <c r="H27" s="27">
        <f>'Servente-op-insal. - Grau Médio'!D119</f>
        <v>3936.67</v>
      </c>
      <c r="I27" s="27">
        <f t="shared" si="0"/>
        <v>8.74815555555556</v>
      </c>
      <c r="J27" s="27"/>
      <c r="K27" s="27"/>
    </row>
    <row r="28" spans="1:11">
      <c r="A28" s="20"/>
      <c r="B28" s="24" t="s">
        <v>175</v>
      </c>
      <c r="C28" s="25">
        <v>50.53</v>
      </c>
      <c r="D28" s="23">
        <v>450</v>
      </c>
      <c r="E28" s="23">
        <v>30</v>
      </c>
      <c r="F28" s="23" t="s">
        <v>160</v>
      </c>
      <c r="G28" s="26">
        <f t="shared" ref="G28" si="37">G29/E28</f>
        <v>7.40740740740741e-5</v>
      </c>
      <c r="H28" s="27">
        <f>'Encarregado - OP'!D121</f>
        <v>4098.99</v>
      </c>
      <c r="I28" s="27">
        <f t="shared" si="0"/>
        <v>0.303628888888889</v>
      </c>
      <c r="J28" s="27">
        <f>I28+I29</f>
        <v>9.05178444444445</v>
      </c>
      <c r="K28" s="27">
        <f t="shared" ref="K28" si="38">J28*C28</f>
        <v>457.386667977778</v>
      </c>
    </row>
    <row r="29" spans="1:11">
      <c r="A29" s="20"/>
      <c r="B29" s="24"/>
      <c r="C29" s="25"/>
      <c r="D29" s="23"/>
      <c r="E29" s="23"/>
      <c r="F29" s="23" t="s">
        <v>161</v>
      </c>
      <c r="G29" s="26">
        <f t="shared" ref="G29" si="39">1/D28</f>
        <v>0.00222222222222222</v>
      </c>
      <c r="H29" s="27">
        <f>'Servente-op-insal. - Grau Médio'!D119</f>
        <v>3936.67</v>
      </c>
      <c r="I29" s="27">
        <f t="shared" si="0"/>
        <v>8.74815555555556</v>
      </c>
      <c r="J29" s="27"/>
      <c r="K29" s="27"/>
    </row>
    <row r="30" spans="1:11">
      <c r="A30" s="28" t="s">
        <v>176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A31" s="23" t="s">
        <v>158</v>
      </c>
      <c r="B31" s="24" t="s">
        <v>159</v>
      </c>
      <c r="C31" s="25">
        <v>478.07</v>
      </c>
      <c r="D31" s="23">
        <v>1200</v>
      </c>
      <c r="E31" s="23">
        <v>30</v>
      </c>
      <c r="F31" s="23" t="s">
        <v>160</v>
      </c>
      <c r="G31" s="26">
        <f t="shared" ref="G31:G60" si="40">G32/E31</f>
        <v>2.77777777777778e-5</v>
      </c>
      <c r="H31" s="29">
        <f>'Encarregado - OP'!D121</f>
        <v>4098.99</v>
      </c>
      <c r="I31" s="29">
        <f>H31*G31</f>
        <v>0.113860833333333</v>
      </c>
      <c r="J31" s="29">
        <f>I31+I32</f>
        <v>2.97281083333333</v>
      </c>
      <c r="K31" s="29">
        <f>J31*C31</f>
        <v>1421.21167509167</v>
      </c>
    </row>
    <row r="32" spans="1:11">
      <c r="A32" s="23"/>
      <c r="B32" s="24"/>
      <c r="C32" s="25"/>
      <c r="D32" s="23"/>
      <c r="E32" s="23"/>
      <c r="F32" s="23" t="s">
        <v>161</v>
      </c>
      <c r="G32" s="26">
        <f t="shared" ref="G32" si="41">1/D31</f>
        <v>0.000833333333333333</v>
      </c>
      <c r="H32" s="29">
        <f>'Servente - op'!D119</f>
        <v>3430.74</v>
      </c>
      <c r="I32" s="29">
        <f t="shared" ref="I32:I76" si="42">H32*G32</f>
        <v>2.85895</v>
      </c>
      <c r="J32" s="29"/>
      <c r="K32" s="29"/>
    </row>
    <row r="33" spans="1:11">
      <c r="A33" s="23"/>
      <c r="B33" s="24" t="s">
        <v>162</v>
      </c>
      <c r="C33" s="25">
        <v>14011.43</v>
      </c>
      <c r="D33" s="23">
        <v>1200</v>
      </c>
      <c r="E33" s="23">
        <v>30</v>
      </c>
      <c r="F33" s="23" t="s">
        <v>160</v>
      </c>
      <c r="G33" s="26">
        <f t="shared" ref="G33" si="43">G34/E33</f>
        <v>2.77777777777778e-5</v>
      </c>
      <c r="H33" s="29">
        <f>'Encarregado - OP'!D121</f>
        <v>4098.99</v>
      </c>
      <c r="I33" s="29">
        <f t="shared" si="42"/>
        <v>0.113860833333333</v>
      </c>
      <c r="J33" s="29">
        <f t="shared" ref="J33" si="44">I33+I34</f>
        <v>2.97281083333333</v>
      </c>
      <c r="K33" s="29">
        <f t="shared" ref="K33" si="45">J33*C33</f>
        <v>41653.3308944917</v>
      </c>
    </row>
    <row r="34" spans="1:11">
      <c r="A34" s="23"/>
      <c r="B34" s="24"/>
      <c r="C34" s="25"/>
      <c r="D34" s="23"/>
      <c r="E34" s="23"/>
      <c r="F34" s="23" t="s">
        <v>161</v>
      </c>
      <c r="G34" s="26">
        <f t="shared" ref="G34" si="46">1/D33</f>
        <v>0.000833333333333333</v>
      </c>
      <c r="H34" s="29">
        <f>'Servente - op'!D119</f>
        <v>3430.74</v>
      </c>
      <c r="I34" s="29">
        <f t="shared" si="42"/>
        <v>2.85895</v>
      </c>
      <c r="J34" s="29"/>
      <c r="K34" s="29"/>
    </row>
    <row r="35" spans="1:11">
      <c r="A35" s="23"/>
      <c r="B35" s="24" t="s">
        <v>163</v>
      </c>
      <c r="C35" s="25">
        <v>1301.7</v>
      </c>
      <c r="D35" s="23">
        <v>450</v>
      </c>
      <c r="E35" s="23">
        <v>30</v>
      </c>
      <c r="F35" s="23" t="s">
        <v>160</v>
      </c>
      <c r="G35" s="26">
        <f t="shared" ref="G35" si="47">G36/E35</f>
        <v>7.40740740740741e-5</v>
      </c>
      <c r="H35" s="29">
        <f>'Encarregado - OP'!D121</f>
        <v>4098.99</v>
      </c>
      <c r="I35" s="29">
        <f t="shared" si="42"/>
        <v>0.303628888888889</v>
      </c>
      <c r="J35" s="29">
        <f t="shared" ref="J35" si="48">I35+I36</f>
        <v>7.92749555555555</v>
      </c>
      <c r="K35" s="29">
        <f t="shared" ref="K35" si="49">J35*C35</f>
        <v>10319.2209646667</v>
      </c>
    </row>
    <row r="36" spans="1:11">
      <c r="A36" s="23"/>
      <c r="B36" s="24"/>
      <c r="C36" s="25"/>
      <c r="D36" s="23"/>
      <c r="E36" s="23"/>
      <c r="F36" s="23" t="s">
        <v>161</v>
      </c>
      <c r="G36" s="26">
        <f t="shared" ref="G36" si="50">1/D35</f>
        <v>0.00222222222222222</v>
      </c>
      <c r="H36" s="29">
        <f>'Servente - op'!D119</f>
        <v>3430.74</v>
      </c>
      <c r="I36" s="29">
        <f t="shared" si="42"/>
        <v>7.62386666666667</v>
      </c>
      <c r="J36" s="29"/>
      <c r="K36" s="29"/>
    </row>
    <row r="37" spans="1:11">
      <c r="A37" s="23"/>
      <c r="B37" s="24" t="s">
        <v>165</v>
      </c>
      <c r="C37" s="25">
        <v>1158.08</v>
      </c>
      <c r="D37" s="23">
        <v>2500</v>
      </c>
      <c r="E37" s="23">
        <v>30</v>
      </c>
      <c r="F37" s="23" t="s">
        <v>160</v>
      </c>
      <c r="G37" s="26">
        <f t="shared" ref="G37" si="51">G38/E37</f>
        <v>1.33333333333333e-5</v>
      </c>
      <c r="H37" s="29">
        <f>'Encarregado - OP'!D121</f>
        <v>4098.99</v>
      </c>
      <c r="I37" s="29">
        <f t="shared" si="42"/>
        <v>0.0546532</v>
      </c>
      <c r="J37" s="29">
        <f t="shared" ref="J37" si="52">I37+I38</f>
        <v>1.4269492</v>
      </c>
      <c r="K37" s="29">
        <f t="shared" ref="K37" si="53">J37*C37</f>
        <v>1652.521329536</v>
      </c>
    </row>
    <row r="38" spans="1:11">
      <c r="A38" s="23"/>
      <c r="B38" s="24"/>
      <c r="C38" s="25"/>
      <c r="D38" s="23"/>
      <c r="E38" s="23"/>
      <c r="F38" s="23" t="s">
        <v>161</v>
      </c>
      <c r="G38" s="26">
        <f t="shared" ref="G38" si="54">1/D37</f>
        <v>0.0004</v>
      </c>
      <c r="H38" s="29">
        <f>'Servente - op'!D119</f>
        <v>3430.74</v>
      </c>
      <c r="I38" s="29">
        <f t="shared" si="42"/>
        <v>1.372296</v>
      </c>
      <c r="J38" s="29"/>
      <c r="K38" s="29"/>
    </row>
    <row r="39" spans="1:11">
      <c r="A39" s="23"/>
      <c r="B39" s="24" t="s">
        <v>166</v>
      </c>
      <c r="C39" s="25">
        <v>13.86</v>
      </c>
      <c r="D39" s="23">
        <v>1800</v>
      </c>
      <c r="E39" s="23">
        <v>30</v>
      </c>
      <c r="F39" s="23" t="s">
        <v>160</v>
      </c>
      <c r="G39" s="26">
        <f t="shared" ref="G39" si="55">G40/E39</f>
        <v>1.85185185185185e-5</v>
      </c>
      <c r="H39" s="29">
        <f>'Encarregado - OP'!D121</f>
        <v>4098.99</v>
      </c>
      <c r="I39" s="29">
        <f t="shared" si="42"/>
        <v>0.0759072222222222</v>
      </c>
      <c r="J39" s="29">
        <f t="shared" ref="J39" si="56">I39+I40</f>
        <v>1.98187388888889</v>
      </c>
      <c r="K39" s="29">
        <f t="shared" ref="K39" si="57">J39*C39</f>
        <v>27.4687721</v>
      </c>
    </row>
    <row r="40" spans="1:11">
      <c r="A40" s="23"/>
      <c r="B40" s="24"/>
      <c r="C40" s="25"/>
      <c r="D40" s="23"/>
      <c r="E40" s="23"/>
      <c r="F40" s="23" t="s">
        <v>161</v>
      </c>
      <c r="G40" s="26">
        <f t="shared" ref="G40" si="58">1/D39</f>
        <v>0.000555555555555556</v>
      </c>
      <c r="H40" s="29">
        <f>'Servente - op'!D119</f>
        <v>3430.74</v>
      </c>
      <c r="I40" s="29">
        <f t="shared" si="42"/>
        <v>1.90596666666667</v>
      </c>
      <c r="J40" s="29"/>
      <c r="K40" s="29"/>
    </row>
    <row r="41" spans="1:11">
      <c r="A41" s="23"/>
      <c r="B41" s="24" t="s">
        <v>167</v>
      </c>
      <c r="C41" s="25">
        <v>1122.91</v>
      </c>
      <c r="D41" s="23">
        <v>1500</v>
      </c>
      <c r="E41" s="23">
        <v>30</v>
      </c>
      <c r="F41" s="23" t="s">
        <v>160</v>
      </c>
      <c r="G41" s="26">
        <f t="shared" ref="G41" si="59">G42/E41</f>
        <v>2.22222222222222e-5</v>
      </c>
      <c r="H41" s="29">
        <f>'Encarregado - OP'!D121</f>
        <v>4098.99</v>
      </c>
      <c r="I41" s="29">
        <f t="shared" si="42"/>
        <v>0.0910886666666667</v>
      </c>
      <c r="J41" s="29">
        <f t="shared" ref="J41" si="60">I41+I42</f>
        <v>2.37824866666667</v>
      </c>
      <c r="K41" s="29">
        <f t="shared" ref="K41" si="61">J41*C41</f>
        <v>2670.55921028667</v>
      </c>
    </row>
    <row r="42" spans="1:11">
      <c r="A42" s="23"/>
      <c r="B42" s="24"/>
      <c r="C42" s="25"/>
      <c r="D42" s="23"/>
      <c r="E42" s="23"/>
      <c r="F42" s="23" t="s">
        <v>161</v>
      </c>
      <c r="G42" s="26">
        <f t="shared" ref="G42" si="62">1/D41</f>
        <v>0.000666666666666667</v>
      </c>
      <c r="H42" s="29">
        <f>'Servente - op'!D119</f>
        <v>3430.74</v>
      </c>
      <c r="I42" s="29">
        <f t="shared" si="42"/>
        <v>2.28716</v>
      </c>
      <c r="J42" s="29"/>
      <c r="K42" s="29"/>
    </row>
    <row r="43" spans="1:11">
      <c r="A43" s="23"/>
      <c r="B43" s="24" t="s">
        <v>168</v>
      </c>
      <c r="C43" s="25">
        <v>652.7</v>
      </c>
      <c r="D43" s="23">
        <v>300</v>
      </c>
      <c r="E43" s="23">
        <v>30</v>
      </c>
      <c r="F43" s="23" t="s">
        <v>160</v>
      </c>
      <c r="G43" s="26">
        <f t="shared" ref="G43" si="63">G44/E43</f>
        <v>0.000111111111111111</v>
      </c>
      <c r="H43" s="29">
        <f>'Encarregado - OP'!D121</f>
        <v>4098.99</v>
      </c>
      <c r="I43" s="29">
        <f t="shared" si="42"/>
        <v>0.455443333333333</v>
      </c>
      <c r="J43" s="29">
        <f t="shared" ref="J43" si="64">I43+I44</f>
        <v>15.2640433333333</v>
      </c>
      <c r="K43" s="29">
        <f t="shared" ref="K43" si="65">J43*C43</f>
        <v>9962.84108366667</v>
      </c>
    </row>
    <row r="44" spans="1:11">
      <c r="A44" s="23"/>
      <c r="B44" s="24"/>
      <c r="C44" s="25"/>
      <c r="D44" s="23"/>
      <c r="E44" s="23"/>
      <c r="F44" s="23" t="s">
        <v>161</v>
      </c>
      <c r="G44" s="26">
        <f t="shared" ref="G44" si="66">1/D43</f>
        <v>0.00333333333333333</v>
      </c>
      <c r="H44" s="29">
        <f>'Servente-op-insal. - Grau Máx.'!D119</f>
        <v>4442.58</v>
      </c>
      <c r="I44" s="29">
        <f t="shared" si="42"/>
        <v>14.8086</v>
      </c>
      <c r="J44" s="29"/>
      <c r="K44" s="29"/>
    </row>
    <row r="45" spans="1:11">
      <c r="A45" s="23" t="s">
        <v>169</v>
      </c>
      <c r="B45" s="24" t="s">
        <v>170</v>
      </c>
      <c r="C45" s="25">
        <v>3175.56</v>
      </c>
      <c r="D45" s="23">
        <v>2700</v>
      </c>
      <c r="E45" s="23">
        <v>30</v>
      </c>
      <c r="F45" s="23" t="s">
        <v>160</v>
      </c>
      <c r="G45" s="26">
        <f t="shared" ref="G45" si="67">G46/E45</f>
        <v>1.23456790123457e-5</v>
      </c>
      <c r="H45" s="29">
        <f>'Encarregado - OP'!D121</f>
        <v>4098.99</v>
      </c>
      <c r="I45" s="29">
        <f t="shared" si="42"/>
        <v>0.0506048148148148</v>
      </c>
      <c r="J45" s="29">
        <f t="shared" ref="J45" si="68">I45+I46</f>
        <v>1.32124925925926</v>
      </c>
      <c r="K45" s="29">
        <f t="shared" ref="K45" si="69">J45*C45</f>
        <v>4195.70629773333</v>
      </c>
    </row>
    <row r="46" spans="1:11">
      <c r="A46" s="23"/>
      <c r="B46" s="24"/>
      <c r="C46" s="25"/>
      <c r="D46" s="23"/>
      <c r="E46" s="23"/>
      <c r="F46" s="23" t="s">
        <v>161</v>
      </c>
      <c r="G46" s="26">
        <f t="shared" ref="G46" si="70">1/D45</f>
        <v>0.00037037037037037</v>
      </c>
      <c r="H46" s="29">
        <f>'Servente - op'!D119</f>
        <v>3430.74</v>
      </c>
      <c r="I46" s="29">
        <f t="shared" si="42"/>
        <v>1.27064444444444</v>
      </c>
      <c r="J46" s="29"/>
      <c r="K46" s="29"/>
    </row>
    <row r="47" spans="1:11">
      <c r="A47" s="20" t="s">
        <v>171</v>
      </c>
      <c r="B47" s="24" t="s">
        <v>163</v>
      </c>
      <c r="C47" s="25">
        <v>130.45</v>
      </c>
      <c r="D47" s="23">
        <v>450</v>
      </c>
      <c r="E47" s="23">
        <v>30</v>
      </c>
      <c r="F47" s="23" t="s">
        <v>160</v>
      </c>
      <c r="G47" s="26">
        <f t="shared" ref="G47" si="71">G48/E47</f>
        <v>7.40740740740741e-5</v>
      </c>
      <c r="H47" s="29">
        <f>'Encarregado - OP'!D121</f>
        <v>4098.99</v>
      </c>
      <c r="I47" s="29">
        <f t="shared" si="42"/>
        <v>0.303628888888889</v>
      </c>
      <c r="J47" s="29">
        <f t="shared" ref="J47" si="72">I47+I48</f>
        <v>9.05178444444445</v>
      </c>
      <c r="K47" s="29">
        <f t="shared" ref="K47" si="73">J47*C47</f>
        <v>1180.80528077778</v>
      </c>
    </row>
    <row r="48" spans="1:11">
      <c r="A48" s="20"/>
      <c r="B48" s="24"/>
      <c r="C48" s="25"/>
      <c r="D48" s="23"/>
      <c r="E48" s="23"/>
      <c r="F48" s="23" t="s">
        <v>161</v>
      </c>
      <c r="G48" s="26">
        <f t="shared" ref="G48" si="74">1/D47</f>
        <v>0.00222222222222222</v>
      </c>
      <c r="H48" s="29">
        <f>'Servente-op-insal. - Grau Médio'!D119</f>
        <v>3936.67</v>
      </c>
      <c r="I48" s="29">
        <f t="shared" si="42"/>
        <v>8.74815555555556</v>
      </c>
      <c r="J48" s="29"/>
      <c r="K48" s="29"/>
    </row>
    <row r="49" spans="1:11">
      <c r="A49" s="28" t="s">
        <v>177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3" t="s">
        <v>158</v>
      </c>
      <c r="B50" s="24" t="s">
        <v>162</v>
      </c>
      <c r="C50" s="25">
        <v>12537.14</v>
      </c>
      <c r="D50" s="23">
        <v>1200</v>
      </c>
      <c r="E50" s="23">
        <v>30</v>
      </c>
      <c r="F50" s="23" t="s">
        <v>160</v>
      </c>
      <c r="G50" s="26">
        <f t="shared" si="40"/>
        <v>2.77777777777778e-5</v>
      </c>
      <c r="H50" s="29">
        <f>'Encarregado - MA'!D119</f>
        <v>3978.42</v>
      </c>
      <c r="I50" s="29">
        <f t="shared" si="42"/>
        <v>0.110511666666667</v>
      </c>
      <c r="J50" s="29">
        <f t="shared" ref="J50:J60" si="75">I50+I51</f>
        <v>2.87922</v>
      </c>
      <c r="K50" s="29">
        <f t="shared" ref="K50" si="76">J50*C50</f>
        <v>36097.1842308</v>
      </c>
    </row>
    <row r="51" spans="1:11">
      <c r="A51" s="23"/>
      <c r="B51" s="24"/>
      <c r="C51" s="25"/>
      <c r="D51" s="23"/>
      <c r="E51" s="23"/>
      <c r="F51" s="23" t="s">
        <v>161</v>
      </c>
      <c r="G51" s="26">
        <f t="shared" ref="G51:G61" si="77">1/D50</f>
        <v>0.000833333333333333</v>
      </c>
      <c r="H51" s="29">
        <f>'Servente - Mariana'!D119</f>
        <v>3322.45</v>
      </c>
      <c r="I51" s="29">
        <f t="shared" si="42"/>
        <v>2.76870833333333</v>
      </c>
      <c r="J51" s="29"/>
      <c r="K51" s="29"/>
    </row>
    <row r="52" spans="1:11">
      <c r="A52" s="23"/>
      <c r="B52" s="24" t="s">
        <v>163</v>
      </c>
      <c r="C52" s="25">
        <v>880.02</v>
      </c>
      <c r="D52" s="23">
        <v>450</v>
      </c>
      <c r="E52" s="23">
        <v>30</v>
      </c>
      <c r="F52" s="23" t="s">
        <v>160</v>
      </c>
      <c r="G52" s="26">
        <f t="shared" si="40"/>
        <v>7.40740740740741e-5</v>
      </c>
      <c r="H52" s="29">
        <f>'Encarregado - MA'!D119</f>
        <v>3978.42</v>
      </c>
      <c r="I52" s="29">
        <f t="shared" si="42"/>
        <v>0.294697777777778</v>
      </c>
      <c r="J52" s="29">
        <f t="shared" si="75"/>
        <v>7.67792</v>
      </c>
      <c r="K52" s="29">
        <f t="shared" ref="K52" si="78">J52*C52</f>
        <v>6756.7231584</v>
      </c>
    </row>
    <row r="53" spans="1:11">
      <c r="A53" s="23"/>
      <c r="B53" s="24"/>
      <c r="C53" s="25"/>
      <c r="D53" s="23"/>
      <c r="E53" s="23"/>
      <c r="F53" s="23" t="s">
        <v>161</v>
      </c>
      <c r="G53" s="26">
        <f t="shared" si="77"/>
        <v>0.00222222222222222</v>
      </c>
      <c r="H53" s="29">
        <f>'Servente - Mariana'!D119</f>
        <v>3322.45</v>
      </c>
      <c r="I53" s="29">
        <f t="shared" si="42"/>
        <v>7.38322222222222</v>
      </c>
      <c r="J53" s="29"/>
      <c r="K53" s="29"/>
    </row>
    <row r="54" spans="1:11">
      <c r="A54" s="23"/>
      <c r="B54" s="24" t="s">
        <v>165</v>
      </c>
      <c r="C54" s="25">
        <v>71.68</v>
      </c>
      <c r="D54" s="23">
        <v>2500</v>
      </c>
      <c r="E54" s="23">
        <v>30</v>
      </c>
      <c r="F54" s="23" t="s">
        <v>160</v>
      </c>
      <c r="G54" s="26">
        <f t="shared" si="40"/>
        <v>1.33333333333333e-5</v>
      </c>
      <c r="H54" s="29">
        <f>'Encarregado - MA'!D119</f>
        <v>3978.42</v>
      </c>
      <c r="I54" s="29">
        <f t="shared" si="42"/>
        <v>0.0530456</v>
      </c>
      <c r="J54" s="29">
        <f t="shared" si="75"/>
        <v>1.3820256</v>
      </c>
      <c r="K54" s="29">
        <f t="shared" ref="K54" si="79">J54*C54</f>
        <v>99.063595008</v>
      </c>
    </row>
    <row r="55" spans="1:11">
      <c r="A55" s="23"/>
      <c r="B55" s="24"/>
      <c r="C55" s="25"/>
      <c r="D55" s="23"/>
      <c r="E55" s="23"/>
      <c r="F55" s="23" t="s">
        <v>161</v>
      </c>
      <c r="G55" s="26">
        <f t="shared" si="77"/>
        <v>0.0004</v>
      </c>
      <c r="H55" s="29">
        <f>'Servente - Mariana'!D119</f>
        <v>3322.45</v>
      </c>
      <c r="I55" s="29">
        <f t="shared" si="42"/>
        <v>1.32898</v>
      </c>
      <c r="J55" s="29"/>
      <c r="K55" s="29"/>
    </row>
    <row r="56" spans="1:11">
      <c r="A56" s="23"/>
      <c r="B56" s="24" t="s">
        <v>167</v>
      </c>
      <c r="C56" s="25">
        <v>2178.85</v>
      </c>
      <c r="D56" s="23">
        <v>1500</v>
      </c>
      <c r="E56" s="23">
        <v>30</v>
      </c>
      <c r="F56" s="23" t="s">
        <v>160</v>
      </c>
      <c r="G56" s="26">
        <f t="shared" si="40"/>
        <v>2.22222222222222e-5</v>
      </c>
      <c r="H56" s="29">
        <f>'Encarregado - MA'!D119</f>
        <v>3978.42</v>
      </c>
      <c r="I56" s="29">
        <f t="shared" si="42"/>
        <v>0.0884093333333333</v>
      </c>
      <c r="J56" s="29">
        <f t="shared" si="75"/>
        <v>2.303376</v>
      </c>
      <c r="K56" s="29">
        <f t="shared" ref="K56" si="80">J56*C56</f>
        <v>5018.7107976</v>
      </c>
    </row>
    <row r="57" spans="1:11">
      <c r="A57" s="23"/>
      <c r="B57" s="24"/>
      <c r="C57" s="25"/>
      <c r="D57" s="23"/>
      <c r="E57" s="23"/>
      <c r="F57" s="23" t="s">
        <v>161</v>
      </c>
      <c r="G57" s="26">
        <f t="shared" si="77"/>
        <v>0.000666666666666667</v>
      </c>
      <c r="H57" s="29">
        <f>'Servente - Mariana'!D119</f>
        <v>3322.45</v>
      </c>
      <c r="I57" s="29">
        <f t="shared" si="42"/>
        <v>2.21496666666667</v>
      </c>
      <c r="J57" s="29"/>
      <c r="K57" s="29"/>
    </row>
    <row r="58" spans="1:11">
      <c r="A58" s="23"/>
      <c r="B58" s="24" t="s">
        <v>168</v>
      </c>
      <c r="C58" s="25">
        <v>677.57</v>
      </c>
      <c r="D58" s="23">
        <v>300</v>
      </c>
      <c r="E58" s="23">
        <v>30</v>
      </c>
      <c r="F58" s="23" t="s">
        <v>160</v>
      </c>
      <c r="G58" s="26">
        <f t="shared" si="40"/>
        <v>0.000111111111111111</v>
      </c>
      <c r="H58" s="29">
        <f>'Encarregado - MA'!D119</f>
        <v>3978.42</v>
      </c>
      <c r="I58" s="29">
        <f t="shared" si="42"/>
        <v>0.442046666666667</v>
      </c>
      <c r="J58" s="29">
        <f t="shared" si="75"/>
        <v>14.81278</v>
      </c>
      <c r="K58" s="29">
        <f t="shared" ref="K58" si="81">J58*C58</f>
        <v>10036.6953446</v>
      </c>
    </row>
    <row r="59" spans="1:11">
      <c r="A59" s="23"/>
      <c r="B59" s="24"/>
      <c r="C59" s="25"/>
      <c r="D59" s="23"/>
      <c r="E59" s="23"/>
      <c r="F59" s="23" t="s">
        <v>161</v>
      </c>
      <c r="G59" s="26">
        <f t="shared" si="77"/>
        <v>0.00333333333333333</v>
      </c>
      <c r="H59" s="29">
        <f>'Servente-MA-Insa-Máximo'!D119</f>
        <v>4311.22</v>
      </c>
      <c r="I59" s="29">
        <f t="shared" si="42"/>
        <v>14.3707333333333</v>
      </c>
      <c r="J59" s="29"/>
      <c r="K59" s="29"/>
    </row>
    <row r="60" spans="1:11">
      <c r="A60" s="23" t="s">
        <v>169</v>
      </c>
      <c r="B60" s="24" t="s">
        <v>170</v>
      </c>
      <c r="C60" s="25">
        <v>1903.41</v>
      </c>
      <c r="D60" s="23">
        <v>2700</v>
      </c>
      <c r="E60" s="23">
        <v>30</v>
      </c>
      <c r="F60" s="23" t="s">
        <v>160</v>
      </c>
      <c r="G60" s="26">
        <f t="shared" si="40"/>
        <v>1.23456790123457e-5</v>
      </c>
      <c r="H60" s="29">
        <f>'Encarregado - MA'!D119</f>
        <v>3978.42</v>
      </c>
      <c r="I60" s="29">
        <f t="shared" si="42"/>
        <v>0.0491162962962963</v>
      </c>
      <c r="J60" s="29">
        <f t="shared" si="75"/>
        <v>1.27965333333333</v>
      </c>
      <c r="K60" s="29">
        <f t="shared" ref="K60" si="82">J60*C60</f>
        <v>2435.7049512</v>
      </c>
    </row>
    <row r="61" spans="1:11">
      <c r="A61" s="23"/>
      <c r="B61" s="24"/>
      <c r="C61" s="25"/>
      <c r="D61" s="23"/>
      <c r="E61" s="23"/>
      <c r="F61" s="23" t="s">
        <v>161</v>
      </c>
      <c r="G61" s="26">
        <f t="shared" si="77"/>
        <v>0.00037037037037037</v>
      </c>
      <c r="H61" s="29">
        <f>'Servente - Mariana'!D119</f>
        <v>3322.45</v>
      </c>
      <c r="I61" s="29">
        <f t="shared" si="42"/>
        <v>1.23053703703704</v>
      </c>
      <c r="J61" s="29"/>
      <c r="K61" s="29"/>
    </row>
    <row r="62" spans="1:11">
      <c r="A62" s="22" t="s">
        <v>178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3" t="s">
        <v>158</v>
      </c>
      <c r="B63" s="24" t="s">
        <v>159</v>
      </c>
      <c r="C63" s="25">
        <v>194.81</v>
      </c>
      <c r="D63" s="23">
        <v>1200</v>
      </c>
      <c r="E63" s="23">
        <v>30</v>
      </c>
      <c r="F63" s="23" t="s">
        <v>160</v>
      </c>
      <c r="G63" s="26">
        <f t="shared" ref="G63:G75" si="83">G64/E63</f>
        <v>2.77777777777778e-5</v>
      </c>
      <c r="H63" s="29">
        <f>'Encarregado- João Monlevade'!D119</f>
        <v>4410.29</v>
      </c>
      <c r="I63" s="29">
        <f t="shared" si="42"/>
        <v>0.122508055555556</v>
      </c>
      <c r="J63" s="29">
        <f t="shared" ref="J63:J75" si="84">I63+I64</f>
        <v>3.06784972222222</v>
      </c>
      <c r="K63" s="29">
        <f>J63*C63</f>
        <v>597.647804386111</v>
      </c>
    </row>
    <row r="64" spans="1:11">
      <c r="A64" s="23"/>
      <c r="B64" s="24"/>
      <c r="C64" s="25"/>
      <c r="D64" s="23"/>
      <c r="E64" s="23"/>
      <c r="F64" s="23" t="s">
        <v>161</v>
      </c>
      <c r="G64" s="26">
        <f t="shared" ref="G64:G76" si="85">1/D63</f>
        <v>0.000833333333333333</v>
      </c>
      <c r="H64" s="29">
        <f>'Servente - João Monlevade'!D119</f>
        <v>3534.41</v>
      </c>
      <c r="I64" s="29">
        <f t="shared" si="42"/>
        <v>2.94534166666667</v>
      </c>
      <c r="J64" s="29"/>
      <c r="K64" s="29"/>
    </row>
    <row r="65" spans="1:11">
      <c r="A65" s="23"/>
      <c r="B65" s="24" t="s">
        <v>162</v>
      </c>
      <c r="C65" s="25">
        <v>2904.89</v>
      </c>
      <c r="D65" s="23">
        <v>1200</v>
      </c>
      <c r="E65" s="23">
        <v>30</v>
      </c>
      <c r="F65" s="23" t="s">
        <v>160</v>
      </c>
      <c r="G65" s="26">
        <f t="shared" si="83"/>
        <v>2.77777777777778e-5</v>
      </c>
      <c r="H65" s="29">
        <f>'Encarregado- João Monlevade'!D119</f>
        <v>4410.29</v>
      </c>
      <c r="I65" s="29">
        <f t="shared" si="42"/>
        <v>0.122508055555556</v>
      </c>
      <c r="J65" s="29">
        <f t="shared" si="84"/>
        <v>3.06784972222222</v>
      </c>
      <c r="K65" s="29">
        <f t="shared" ref="K65" si="86">J65*C65</f>
        <v>8911.76597958611</v>
      </c>
    </row>
    <row r="66" spans="1:11">
      <c r="A66" s="23"/>
      <c r="B66" s="24"/>
      <c r="C66" s="25"/>
      <c r="D66" s="23"/>
      <c r="E66" s="23"/>
      <c r="F66" s="23" t="s">
        <v>161</v>
      </c>
      <c r="G66" s="26">
        <f t="shared" si="85"/>
        <v>0.000833333333333333</v>
      </c>
      <c r="H66" s="29">
        <f>'Servente - João Monlevade'!D119</f>
        <v>3534.41</v>
      </c>
      <c r="I66" s="29">
        <f t="shared" si="42"/>
        <v>2.94534166666667</v>
      </c>
      <c r="J66" s="29"/>
      <c r="K66" s="29"/>
    </row>
    <row r="67" spans="1:11">
      <c r="A67" s="23"/>
      <c r="B67" s="24" t="s">
        <v>163</v>
      </c>
      <c r="C67" s="25">
        <v>1005.64</v>
      </c>
      <c r="D67" s="23">
        <v>450</v>
      </c>
      <c r="E67" s="23">
        <v>30</v>
      </c>
      <c r="F67" s="23" t="s">
        <v>160</v>
      </c>
      <c r="G67" s="26">
        <f t="shared" si="83"/>
        <v>7.40740740740741e-5</v>
      </c>
      <c r="H67" s="29">
        <f>'Encarregado- João Monlevade'!D119</f>
        <v>4410.29</v>
      </c>
      <c r="I67" s="29">
        <f t="shared" si="42"/>
        <v>0.326688148148148</v>
      </c>
      <c r="J67" s="29">
        <f t="shared" si="84"/>
        <v>8.18093259259259</v>
      </c>
      <c r="K67" s="29">
        <f t="shared" ref="K67" si="87">J67*C67</f>
        <v>8227.07305241481</v>
      </c>
    </row>
    <row r="68" spans="1:11">
      <c r="A68" s="23"/>
      <c r="B68" s="24"/>
      <c r="C68" s="25"/>
      <c r="D68" s="23"/>
      <c r="E68" s="23"/>
      <c r="F68" s="23" t="s">
        <v>161</v>
      </c>
      <c r="G68" s="26">
        <f t="shared" si="85"/>
        <v>0.00222222222222222</v>
      </c>
      <c r="H68" s="29">
        <f>'Servente - João Monlevade'!D119</f>
        <v>3534.41</v>
      </c>
      <c r="I68" s="29">
        <f t="shared" si="42"/>
        <v>7.85424444444444</v>
      </c>
      <c r="J68" s="29"/>
      <c r="K68" s="29"/>
    </row>
    <row r="69" spans="1:11">
      <c r="A69" s="23"/>
      <c r="B69" s="24" t="s">
        <v>165</v>
      </c>
      <c r="C69" s="25">
        <v>144.27</v>
      </c>
      <c r="D69" s="23">
        <v>2500</v>
      </c>
      <c r="E69" s="23">
        <v>30</v>
      </c>
      <c r="F69" s="23" t="s">
        <v>160</v>
      </c>
      <c r="G69" s="26">
        <f t="shared" si="83"/>
        <v>1.33333333333333e-5</v>
      </c>
      <c r="H69" s="29">
        <f>'Encarregado- João Monlevade'!D119</f>
        <v>4410.29</v>
      </c>
      <c r="I69" s="29">
        <f t="shared" si="42"/>
        <v>0.0588038666666667</v>
      </c>
      <c r="J69" s="29">
        <f t="shared" si="84"/>
        <v>1.47256786666667</v>
      </c>
      <c r="K69" s="29">
        <f t="shared" ref="K69" si="88">J69*C69</f>
        <v>212.447366124</v>
      </c>
    </row>
    <row r="70" spans="1:11">
      <c r="A70" s="23"/>
      <c r="B70" s="24"/>
      <c r="C70" s="25"/>
      <c r="D70" s="23"/>
      <c r="E70" s="23"/>
      <c r="F70" s="23" t="s">
        <v>161</v>
      </c>
      <c r="G70" s="26">
        <f t="shared" si="85"/>
        <v>0.0004</v>
      </c>
      <c r="H70" s="29">
        <f>'Servente - João Monlevade'!D119</f>
        <v>3534.41</v>
      </c>
      <c r="I70" s="29">
        <f t="shared" si="42"/>
        <v>1.413764</v>
      </c>
      <c r="J70" s="29"/>
      <c r="K70" s="29"/>
    </row>
    <row r="71" spans="1:11">
      <c r="A71" s="23"/>
      <c r="B71" s="24" t="s">
        <v>167</v>
      </c>
      <c r="C71" s="25">
        <v>459.51</v>
      </c>
      <c r="D71" s="23">
        <v>1500</v>
      </c>
      <c r="E71" s="23">
        <v>30</v>
      </c>
      <c r="F71" s="23" t="s">
        <v>160</v>
      </c>
      <c r="G71" s="26">
        <f t="shared" si="83"/>
        <v>2.22222222222222e-5</v>
      </c>
      <c r="H71" s="29">
        <f>'Encarregado- João Monlevade'!D119</f>
        <v>4410.29</v>
      </c>
      <c r="I71" s="29">
        <f t="shared" si="42"/>
        <v>0.0980064444444444</v>
      </c>
      <c r="J71" s="29">
        <f t="shared" si="84"/>
        <v>2.45427977777778</v>
      </c>
      <c r="K71" s="29">
        <f t="shared" ref="K71" si="89">J71*C71</f>
        <v>1127.76610068667</v>
      </c>
    </row>
    <row r="72" spans="1:11">
      <c r="A72" s="23"/>
      <c r="B72" s="24"/>
      <c r="C72" s="25"/>
      <c r="D72" s="23"/>
      <c r="E72" s="23"/>
      <c r="F72" s="23" t="s">
        <v>161</v>
      </c>
      <c r="G72" s="26">
        <f t="shared" si="85"/>
        <v>0.000666666666666667</v>
      </c>
      <c r="H72" s="29">
        <f>'Servente - João Monlevade'!D119</f>
        <v>3534.41</v>
      </c>
      <c r="I72" s="29">
        <f t="shared" si="42"/>
        <v>2.35627333333333</v>
      </c>
      <c r="J72" s="29"/>
      <c r="K72" s="29"/>
    </row>
    <row r="73" spans="1:11">
      <c r="A73" s="23"/>
      <c r="B73" s="24" t="s">
        <v>168</v>
      </c>
      <c r="C73" s="25">
        <v>675.35</v>
      </c>
      <c r="D73" s="23">
        <v>300</v>
      </c>
      <c r="E73" s="23">
        <v>30</v>
      </c>
      <c r="F73" s="23" t="s">
        <v>160</v>
      </c>
      <c r="G73" s="26">
        <f t="shared" si="83"/>
        <v>0.000111111111111111</v>
      </c>
      <c r="H73" s="29">
        <f>'Encarregado- João Monlevade'!D119</f>
        <v>4410.29</v>
      </c>
      <c r="I73" s="29">
        <f t="shared" si="42"/>
        <v>0.490032222222222</v>
      </c>
      <c r="J73" s="29">
        <f t="shared" si="84"/>
        <v>15.6441322222222</v>
      </c>
      <c r="K73" s="29">
        <f t="shared" ref="K73" si="90">J73*C73</f>
        <v>10565.2646962778</v>
      </c>
    </row>
    <row r="74" spans="1:11">
      <c r="A74" s="23"/>
      <c r="B74" s="24"/>
      <c r="C74" s="25"/>
      <c r="D74" s="23"/>
      <c r="E74" s="23"/>
      <c r="F74" s="23" t="s">
        <v>161</v>
      </c>
      <c r="G74" s="26">
        <f t="shared" si="85"/>
        <v>0.00333333333333333</v>
      </c>
      <c r="H74" s="29">
        <f>'Servente - JM- Insa. Grau Máxi'!D119</f>
        <v>4546.23</v>
      </c>
      <c r="I74" s="29">
        <f t="shared" si="42"/>
        <v>15.1541</v>
      </c>
      <c r="J74" s="29"/>
      <c r="K74" s="29"/>
    </row>
    <row r="75" spans="1:11">
      <c r="A75" s="23" t="s">
        <v>169</v>
      </c>
      <c r="B75" s="24" t="s">
        <v>170</v>
      </c>
      <c r="C75" s="25">
        <v>1931.32</v>
      </c>
      <c r="D75" s="23">
        <v>2700</v>
      </c>
      <c r="E75" s="23">
        <v>30</v>
      </c>
      <c r="F75" s="23" t="s">
        <v>160</v>
      </c>
      <c r="G75" s="26">
        <f t="shared" si="83"/>
        <v>1.23456790123457e-5</v>
      </c>
      <c r="H75" s="29">
        <f>'Encarregado- João Monlevade'!D119</f>
        <v>4410.29</v>
      </c>
      <c r="I75" s="29">
        <f t="shared" si="42"/>
        <v>0.054448024691358</v>
      </c>
      <c r="J75" s="29">
        <f t="shared" si="84"/>
        <v>1.3634887654321</v>
      </c>
      <c r="K75" s="29">
        <f t="shared" ref="K75" si="91">J75*C75</f>
        <v>2633.33312245432</v>
      </c>
    </row>
    <row r="76" spans="1:11">
      <c r="A76" s="23"/>
      <c r="B76" s="24"/>
      <c r="C76" s="25"/>
      <c r="D76" s="23"/>
      <c r="E76" s="23"/>
      <c r="F76" s="23" t="s">
        <v>161</v>
      </c>
      <c r="G76" s="26">
        <f t="shared" si="85"/>
        <v>0.00037037037037037</v>
      </c>
      <c r="H76" s="29">
        <f>'Servente - João Monlevade'!D119</f>
        <v>3534.41</v>
      </c>
      <c r="I76" s="29">
        <f t="shared" si="42"/>
        <v>1.30904074074074</v>
      </c>
      <c r="J76" s="29"/>
      <c r="K76" s="29"/>
    </row>
    <row r="77" spans="1:11">
      <c r="A77" s="22" t="s">
        <v>179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3"/>
      <c r="B78" s="24" t="s">
        <v>162</v>
      </c>
      <c r="C78" s="25">
        <v>287.36</v>
      </c>
      <c r="D78" s="19" t="s">
        <v>180</v>
      </c>
      <c r="E78" s="19" t="s">
        <v>180</v>
      </c>
      <c r="F78" s="19" t="s">
        <v>180</v>
      </c>
      <c r="G78" s="19" t="s">
        <v>180</v>
      </c>
      <c r="H78" s="19">
        <f>'Servente - BH - Insa - Grau Máx'!D119</f>
        <v>4634.6</v>
      </c>
      <c r="I78" s="19" t="s">
        <v>180</v>
      </c>
      <c r="J78" s="19" t="s">
        <v>180</v>
      </c>
      <c r="K78" s="33">
        <f>H78</f>
        <v>4634.6</v>
      </c>
    </row>
    <row r="79" spans="1:11">
      <c r="A79" s="23"/>
      <c r="B79" s="24" t="s">
        <v>165</v>
      </c>
      <c r="C79" s="25">
        <v>23.58</v>
      </c>
      <c r="D79" s="19"/>
      <c r="E79" s="19"/>
      <c r="F79" s="19"/>
      <c r="G79" s="19"/>
      <c r="H79" s="19"/>
      <c r="I79" s="19"/>
      <c r="J79" s="19"/>
      <c r="K79" s="33"/>
    </row>
    <row r="80" ht="25.5" spans="1:11">
      <c r="A80" s="23"/>
      <c r="B80" s="24" t="s">
        <v>167</v>
      </c>
      <c r="C80" s="25">
        <v>7.08</v>
      </c>
      <c r="D80" s="19"/>
      <c r="E80" s="19"/>
      <c r="F80" s="19"/>
      <c r="G80" s="19"/>
      <c r="H80" s="19"/>
      <c r="I80" s="19"/>
      <c r="J80" s="19"/>
      <c r="K80" s="33"/>
    </row>
    <row r="81" spans="1:11">
      <c r="A81" s="23"/>
      <c r="B81" s="24" t="s">
        <v>168</v>
      </c>
      <c r="C81" s="25">
        <v>18.52</v>
      </c>
      <c r="D81" s="19"/>
      <c r="E81" s="19"/>
      <c r="F81" s="19"/>
      <c r="G81" s="19"/>
      <c r="H81" s="19"/>
      <c r="I81" s="19"/>
      <c r="J81" s="19"/>
      <c r="K81" s="33"/>
    </row>
    <row r="82" ht="38.25" spans="1:11">
      <c r="A82" s="23" t="s">
        <v>169</v>
      </c>
      <c r="B82" s="24" t="s">
        <v>170</v>
      </c>
      <c r="C82" s="25">
        <v>306.13</v>
      </c>
      <c r="D82" s="19"/>
      <c r="E82" s="19"/>
      <c r="F82" s="19"/>
      <c r="G82" s="19"/>
      <c r="H82" s="19"/>
      <c r="I82" s="19"/>
      <c r="J82" s="19"/>
      <c r="K82" s="33"/>
    </row>
    <row r="83" spans="1:11">
      <c r="A83" s="31" t="s">
        <v>181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3">
      <c r="A84" s="29" t="s">
        <v>182</v>
      </c>
      <c r="B84" s="29"/>
      <c r="C84" s="29"/>
      <c r="D84" s="29"/>
      <c r="E84" s="29"/>
      <c r="F84" s="29"/>
      <c r="G84" s="29"/>
      <c r="H84" s="29"/>
      <c r="I84" s="29"/>
      <c r="J84" s="29"/>
      <c r="K84" s="29">
        <f>SUM(K4:K83)</f>
        <v>571621.727376075</v>
      </c>
      <c r="M84" s="30"/>
    </row>
    <row r="85" spans="1:11">
      <c r="A85" s="29" t="s">
        <v>183</v>
      </c>
      <c r="B85" s="29"/>
      <c r="C85" s="29"/>
      <c r="D85" s="29"/>
      <c r="E85" s="29"/>
      <c r="F85" s="29"/>
      <c r="G85" s="29"/>
      <c r="H85" s="29"/>
      <c r="I85" s="29"/>
      <c r="J85" s="29"/>
      <c r="K85" s="29">
        <f>K84*12</f>
        <v>6859460.7285129</v>
      </c>
    </row>
    <row r="88" spans="3:3">
      <c r="C88" s="32"/>
    </row>
    <row r="89" spans="3:13">
      <c r="C89" s="32"/>
      <c r="M89" s="34"/>
    </row>
    <row r="90" spans="3:3">
      <c r="C90" s="32"/>
    </row>
    <row r="91" spans="3:10">
      <c r="C91" s="32"/>
      <c r="J91" s="34"/>
    </row>
    <row r="92" spans="3:10">
      <c r="C92" s="32"/>
      <c r="J92" s="34"/>
    </row>
    <row r="93" spans="3:10">
      <c r="C93" s="32"/>
      <c r="J93" s="34"/>
    </row>
    <row r="94" spans="11:11">
      <c r="K94" s="35"/>
    </row>
  </sheetData>
  <mergeCells count="238">
    <mergeCell ref="A1:K1"/>
    <mergeCell ref="A3:K3"/>
    <mergeCell ref="A30:K30"/>
    <mergeCell ref="A49:K49"/>
    <mergeCell ref="A62:K62"/>
    <mergeCell ref="A77:K77"/>
    <mergeCell ref="A83:K83"/>
    <mergeCell ref="A84:J84"/>
    <mergeCell ref="A85:J85"/>
    <mergeCell ref="A4:A19"/>
    <mergeCell ref="A20:A21"/>
    <mergeCell ref="A22:A29"/>
    <mergeCell ref="A31:A44"/>
    <mergeCell ref="A45:A46"/>
    <mergeCell ref="A47:A48"/>
    <mergeCell ref="A50:A59"/>
    <mergeCell ref="A60:A61"/>
    <mergeCell ref="A63:A74"/>
    <mergeCell ref="A75:A76"/>
    <mergeCell ref="A78:A8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0:B51"/>
    <mergeCell ref="B52:B53"/>
    <mergeCell ref="B54:B55"/>
    <mergeCell ref="B56:B57"/>
    <mergeCell ref="B58:B59"/>
    <mergeCell ref="B60:B61"/>
    <mergeCell ref="B63:B64"/>
    <mergeCell ref="B65:B66"/>
    <mergeCell ref="B67:B68"/>
    <mergeCell ref="B69:B70"/>
    <mergeCell ref="B71:B72"/>
    <mergeCell ref="B73:B74"/>
    <mergeCell ref="B75:B7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50:C51"/>
    <mergeCell ref="C52:C53"/>
    <mergeCell ref="C54:C55"/>
    <mergeCell ref="C56:C57"/>
    <mergeCell ref="C58:C59"/>
    <mergeCell ref="C60:C61"/>
    <mergeCell ref="C63:C64"/>
    <mergeCell ref="C65:C66"/>
    <mergeCell ref="C67:C68"/>
    <mergeCell ref="C69:C70"/>
    <mergeCell ref="C71:C72"/>
    <mergeCell ref="C73:C74"/>
    <mergeCell ref="C75:C76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50:D51"/>
    <mergeCell ref="D52:D53"/>
    <mergeCell ref="D54:D55"/>
    <mergeCell ref="D56:D57"/>
    <mergeCell ref="D58:D59"/>
    <mergeCell ref="D60:D61"/>
    <mergeCell ref="D63:D64"/>
    <mergeCell ref="D65:D66"/>
    <mergeCell ref="D67:D68"/>
    <mergeCell ref="D69:D70"/>
    <mergeCell ref="D71:D72"/>
    <mergeCell ref="D73:D74"/>
    <mergeCell ref="D75:D76"/>
    <mergeCell ref="D78:D8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50:E51"/>
    <mergeCell ref="E52:E53"/>
    <mergeCell ref="E54:E55"/>
    <mergeCell ref="E56:E57"/>
    <mergeCell ref="E58:E59"/>
    <mergeCell ref="E60:E61"/>
    <mergeCell ref="E63:E64"/>
    <mergeCell ref="E65:E66"/>
    <mergeCell ref="E67:E68"/>
    <mergeCell ref="E69:E70"/>
    <mergeCell ref="E71:E72"/>
    <mergeCell ref="E73:E74"/>
    <mergeCell ref="E75:E76"/>
    <mergeCell ref="E78:E82"/>
    <mergeCell ref="F78:F82"/>
    <mergeCell ref="G78:G82"/>
    <mergeCell ref="H78:H82"/>
    <mergeCell ref="I78:I82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50:J51"/>
    <mergeCell ref="J52:J53"/>
    <mergeCell ref="J54:J55"/>
    <mergeCell ref="J56:J57"/>
    <mergeCell ref="J58:J59"/>
    <mergeCell ref="J60:J61"/>
    <mergeCell ref="J63:J64"/>
    <mergeCell ref="J65:J66"/>
    <mergeCell ref="J67:J68"/>
    <mergeCell ref="J69:J70"/>
    <mergeCell ref="J71:J72"/>
    <mergeCell ref="J73:J74"/>
    <mergeCell ref="J75:J76"/>
    <mergeCell ref="J78:J82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50:K51"/>
    <mergeCell ref="K52:K53"/>
    <mergeCell ref="K54:K55"/>
    <mergeCell ref="K56:K57"/>
    <mergeCell ref="K58:K59"/>
    <mergeCell ref="K60:K61"/>
    <mergeCell ref="K63:K64"/>
    <mergeCell ref="K65:K66"/>
    <mergeCell ref="K67:K68"/>
    <mergeCell ref="K69:K70"/>
    <mergeCell ref="K71:K72"/>
    <mergeCell ref="K73:K74"/>
    <mergeCell ref="K75:K76"/>
    <mergeCell ref="K78:K82"/>
  </mergeCells>
  <pageMargins left="0.511805555555556" right="0.511805555555556" top="0.786805555555556" bottom="0.786805555555556" header="0.313888888888889" footer="0.313888888888889"/>
  <pageSetup paperSize="9" scale="56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"/>
  <sheetViews>
    <sheetView topLeftCell="A58" workbookViewId="0">
      <selection activeCell="G31" sqref="G31:G32"/>
    </sheetView>
  </sheetViews>
  <sheetFormatPr defaultColWidth="9" defaultRowHeight="15" outlineLevelCol="7"/>
  <cols>
    <col min="1" max="1" width="12.5714285714286" style="1" customWidth="1"/>
    <col min="2" max="2" width="18.5714285714286" style="1" customWidth="1"/>
    <col min="3" max="3" width="12.5714285714286" style="2" customWidth="1"/>
    <col min="4" max="4" width="13.7142857142857" style="1" customWidth="1"/>
    <col min="5" max="5" width="20.2857142857143" style="1" customWidth="1"/>
    <col min="6" max="6" width="19.7142857142857" style="1" customWidth="1"/>
    <col min="7" max="7" width="13.2857142857143" style="1" customWidth="1"/>
    <col min="8" max="8" width="12.1428571428571" style="1" customWidth="1"/>
  </cols>
  <sheetData>
    <row r="1" spans="1:8">
      <c r="A1" s="3" t="s">
        <v>184</v>
      </c>
      <c r="B1" s="3"/>
      <c r="C1" s="3"/>
      <c r="D1" s="3"/>
      <c r="E1" s="3"/>
      <c r="F1" s="3"/>
      <c r="G1" s="3"/>
      <c r="H1" s="3"/>
    </row>
    <row r="2" ht="45" spans="1:8">
      <c r="A2" s="4"/>
      <c r="B2" s="5" t="s">
        <v>147</v>
      </c>
      <c r="C2" s="6" t="s">
        <v>148</v>
      </c>
      <c r="D2" s="4" t="s">
        <v>185</v>
      </c>
      <c r="E2" s="4" t="s">
        <v>186</v>
      </c>
      <c r="F2" s="4" t="s">
        <v>187</v>
      </c>
      <c r="G2" s="4" t="s">
        <v>188</v>
      </c>
      <c r="H2" s="4" t="s">
        <v>189</v>
      </c>
    </row>
    <row r="3" spans="1:8">
      <c r="A3" s="7" t="s">
        <v>157</v>
      </c>
      <c r="B3" s="7"/>
      <c r="C3" s="7"/>
      <c r="D3" s="7"/>
      <c r="E3" s="7"/>
      <c r="F3" s="7"/>
      <c r="G3" s="7"/>
      <c r="H3" s="7"/>
    </row>
    <row r="4" spans="1:8">
      <c r="A4" s="4" t="s">
        <v>158</v>
      </c>
      <c r="B4" s="8" t="s">
        <v>159</v>
      </c>
      <c r="C4" s="9">
        <v>949.86</v>
      </c>
      <c r="D4" s="4">
        <v>1200</v>
      </c>
      <c r="E4" s="10">
        <v>2.85</v>
      </c>
      <c r="F4" s="10">
        <v>3.43</v>
      </c>
      <c r="G4" s="11">
        <f>E4*C4</f>
        <v>2707.101</v>
      </c>
      <c r="H4" s="12">
        <f>F4*C4</f>
        <v>3258.0198</v>
      </c>
    </row>
    <row r="5" spans="1:8">
      <c r="A5" s="4"/>
      <c r="B5" s="8"/>
      <c r="C5" s="9"/>
      <c r="D5" s="4"/>
      <c r="E5" s="10"/>
      <c r="F5" s="10"/>
      <c r="G5" s="11"/>
      <c r="H5" s="12"/>
    </row>
    <row r="6" spans="1:8">
      <c r="A6" s="4"/>
      <c r="B6" s="8" t="s">
        <v>162</v>
      </c>
      <c r="C6" s="9">
        <v>47700.71</v>
      </c>
      <c r="D6" s="4">
        <v>1200</v>
      </c>
      <c r="E6" s="10">
        <v>2.85</v>
      </c>
      <c r="F6" s="10">
        <v>3.43</v>
      </c>
      <c r="G6" s="11">
        <f t="shared" ref="G6" si="0">E6*C6</f>
        <v>135947.0235</v>
      </c>
      <c r="H6" s="12">
        <f t="shared" ref="H6" si="1">F6*C6</f>
        <v>163613.4353</v>
      </c>
    </row>
    <row r="7" spans="1:8">
      <c r="A7" s="4"/>
      <c r="B7" s="8"/>
      <c r="C7" s="9"/>
      <c r="D7" s="4"/>
      <c r="E7" s="10"/>
      <c r="F7" s="10"/>
      <c r="G7" s="11"/>
      <c r="H7" s="12"/>
    </row>
    <row r="8" spans="1:8">
      <c r="A8" s="4"/>
      <c r="B8" s="8" t="s">
        <v>163</v>
      </c>
      <c r="C8" s="9">
        <v>19161.25</v>
      </c>
      <c r="D8" s="4">
        <v>450</v>
      </c>
      <c r="E8" s="10">
        <f>3420/D8</f>
        <v>7.6</v>
      </c>
      <c r="F8" s="10">
        <f>4116/D8</f>
        <v>9.14666666666667</v>
      </c>
      <c r="G8" s="11">
        <f t="shared" ref="G8" si="2">E8*C8</f>
        <v>145625.5</v>
      </c>
      <c r="H8" s="12">
        <f t="shared" ref="H8" si="3">F8*C8</f>
        <v>175261.566666667</v>
      </c>
    </row>
    <row r="9" spans="1:8">
      <c r="A9" s="4"/>
      <c r="B9" s="8"/>
      <c r="C9" s="9"/>
      <c r="D9" s="4"/>
      <c r="E9" s="10"/>
      <c r="F9" s="10"/>
      <c r="G9" s="11"/>
      <c r="H9" s="12"/>
    </row>
    <row r="10" spans="1:8">
      <c r="A10" s="4"/>
      <c r="B10" s="8" t="s">
        <v>164</v>
      </c>
      <c r="C10" s="9">
        <v>1768.67</v>
      </c>
      <c r="D10" s="4">
        <v>2500</v>
      </c>
      <c r="E10" s="10">
        <f>3420/D10</f>
        <v>1.368</v>
      </c>
      <c r="F10" s="10">
        <f t="shared" ref="F10" si="4">4116/D10</f>
        <v>1.6464</v>
      </c>
      <c r="G10" s="11">
        <f t="shared" ref="G10" si="5">E10*C10</f>
        <v>2419.54056</v>
      </c>
      <c r="H10" s="12">
        <f t="shared" ref="H10" si="6">F10*C10</f>
        <v>2911.938288</v>
      </c>
    </row>
    <row r="11" spans="1:8">
      <c r="A11" s="4"/>
      <c r="B11" s="8"/>
      <c r="C11" s="9"/>
      <c r="D11" s="4"/>
      <c r="E11" s="10"/>
      <c r="F11" s="10"/>
      <c r="G11" s="11"/>
      <c r="H11" s="12"/>
    </row>
    <row r="12" spans="1:8">
      <c r="A12" s="4"/>
      <c r="B12" s="8" t="s">
        <v>165</v>
      </c>
      <c r="C12" s="9">
        <v>1398.12</v>
      </c>
      <c r="D12" s="4">
        <v>2500</v>
      </c>
      <c r="E12" s="10">
        <f t="shared" ref="E12" si="7">3420/D12</f>
        <v>1.368</v>
      </c>
      <c r="F12" s="10">
        <f t="shared" ref="F12" si="8">4116/D12</f>
        <v>1.6464</v>
      </c>
      <c r="G12" s="11">
        <f t="shared" ref="G12" si="9">E12*C12</f>
        <v>1912.62816</v>
      </c>
      <c r="H12" s="12">
        <f t="shared" ref="H12" si="10">F12*C12</f>
        <v>2301.864768</v>
      </c>
    </row>
    <row r="13" spans="1:8">
      <c r="A13" s="4"/>
      <c r="B13" s="8"/>
      <c r="C13" s="9"/>
      <c r="D13" s="4"/>
      <c r="E13" s="10"/>
      <c r="F13" s="10"/>
      <c r="G13" s="11"/>
      <c r="H13" s="12"/>
    </row>
    <row r="14" spans="1:8">
      <c r="A14" s="4"/>
      <c r="B14" s="8" t="s">
        <v>166</v>
      </c>
      <c r="C14" s="9">
        <v>1047.11</v>
      </c>
      <c r="D14" s="4">
        <v>1800</v>
      </c>
      <c r="E14" s="10">
        <f t="shared" ref="E14" si="11">3420/D14</f>
        <v>1.9</v>
      </c>
      <c r="F14" s="10">
        <f>4116/D14</f>
        <v>2.28666666666667</v>
      </c>
      <c r="G14" s="11">
        <f t="shared" ref="G14" si="12">E14*C14</f>
        <v>1989.509</v>
      </c>
      <c r="H14" s="12">
        <f t="shared" ref="H14" si="13">F14*C14</f>
        <v>2394.39153333333</v>
      </c>
    </row>
    <row r="15" spans="1:8">
      <c r="A15" s="4"/>
      <c r="B15" s="8"/>
      <c r="C15" s="9"/>
      <c r="D15" s="4"/>
      <c r="E15" s="10"/>
      <c r="F15" s="10"/>
      <c r="G15" s="11"/>
      <c r="H15" s="12"/>
    </row>
    <row r="16" spans="1:8">
      <c r="A16" s="4"/>
      <c r="B16" s="8" t="s">
        <v>167</v>
      </c>
      <c r="C16" s="9">
        <v>8022.76</v>
      </c>
      <c r="D16" s="4">
        <v>1500</v>
      </c>
      <c r="E16" s="10">
        <f t="shared" ref="E16" si="14">3420/D16</f>
        <v>2.28</v>
      </c>
      <c r="F16" s="10">
        <f t="shared" ref="F16" si="15">4116/D16</f>
        <v>2.744</v>
      </c>
      <c r="G16" s="11">
        <f t="shared" ref="G16" si="16">E16*C16</f>
        <v>18291.8928</v>
      </c>
      <c r="H16" s="12">
        <f t="shared" ref="H16" si="17">F16*C16</f>
        <v>22014.45344</v>
      </c>
    </row>
    <row r="17" spans="1:8">
      <c r="A17" s="4"/>
      <c r="B17" s="8"/>
      <c r="C17" s="9"/>
      <c r="D17" s="4"/>
      <c r="E17" s="10"/>
      <c r="F17" s="10"/>
      <c r="G17" s="11"/>
      <c r="H17" s="12"/>
    </row>
    <row r="18" spans="1:8">
      <c r="A18" s="4"/>
      <c r="B18" s="8" t="s">
        <v>168</v>
      </c>
      <c r="C18" s="9">
        <v>3196.57</v>
      </c>
      <c r="D18" s="4">
        <v>300</v>
      </c>
      <c r="E18" s="10">
        <f t="shared" ref="E18" si="18">3420/D18</f>
        <v>11.4</v>
      </c>
      <c r="F18" s="10">
        <f t="shared" ref="F18" si="19">4116/D18</f>
        <v>13.72</v>
      </c>
      <c r="G18" s="11">
        <f t="shared" ref="G18" si="20">E18*C18</f>
        <v>36440.898</v>
      </c>
      <c r="H18" s="12">
        <f t="shared" ref="H18" si="21">F18*C18</f>
        <v>43856.9404</v>
      </c>
    </row>
    <row r="19" spans="1:8">
      <c r="A19" s="4"/>
      <c r="B19" s="8"/>
      <c r="C19" s="9"/>
      <c r="D19" s="4"/>
      <c r="E19" s="10"/>
      <c r="F19" s="10"/>
      <c r="G19" s="11"/>
      <c r="H19" s="12"/>
    </row>
    <row r="20" spans="1:8">
      <c r="A20" s="4" t="s">
        <v>169</v>
      </c>
      <c r="B20" s="8" t="s">
        <v>170</v>
      </c>
      <c r="C20" s="9">
        <v>9256.43</v>
      </c>
      <c r="D20" s="4">
        <v>2700</v>
      </c>
      <c r="E20" s="10">
        <v>1.27</v>
      </c>
      <c r="F20" s="10">
        <v>1.53</v>
      </c>
      <c r="G20" s="11">
        <f t="shared" ref="G20" si="22">E20*C20</f>
        <v>11755.6661</v>
      </c>
      <c r="H20" s="12">
        <f t="shared" ref="H20" si="23">F20*C20</f>
        <v>14162.3379</v>
      </c>
    </row>
    <row r="21" spans="1:8">
      <c r="A21" s="4"/>
      <c r="B21" s="8"/>
      <c r="C21" s="9"/>
      <c r="D21" s="4"/>
      <c r="E21" s="10"/>
      <c r="F21" s="10"/>
      <c r="G21" s="11"/>
      <c r="H21" s="12"/>
    </row>
    <row r="22" spans="1:8">
      <c r="A22" s="5" t="s">
        <v>171</v>
      </c>
      <c r="B22" s="8" t="s">
        <v>172</v>
      </c>
      <c r="C22" s="9">
        <v>1492.54</v>
      </c>
      <c r="D22" s="4">
        <v>450</v>
      </c>
      <c r="E22" s="10">
        <f t="shared" ref="E22:E28" si="24">3420/D22</f>
        <v>7.6</v>
      </c>
      <c r="F22" s="10">
        <f t="shared" ref="F22:F28" si="25">4116/D22</f>
        <v>9.14666666666667</v>
      </c>
      <c r="G22" s="11">
        <f t="shared" ref="G22" si="26">E22*C22</f>
        <v>11343.304</v>
      </c>
      <c r="H22" s="12">
        <f t="shared" ref="H22" si="27">F22*C22</f>
        <v>13651.7658666667</v>
      </c>
    </row>
    <row r="23" spans="1:8">
      <c r="A23" s="5"/>
      <c r="B23" s="8"/>
      <c r="C23" s="9"/>
      <c r="D23" s="4"/>
      <c r="E23" s="10"/>
      <c r="F23" s="10"/>
      <c r="G23" s="11"/>
      <c r="H23" s="12"/>
    </row>
    <row r="24" spans="1:8">
      <c r="A24" s="5"/>
      <c r="B24" s="8" t="s">
        <v>173</v>
      </c>
      <c r="C24" s="9">
        <v>147.49</v>
      </c>
      <c r="D24" s="4">
        <v>450</v>
      </c>
      <c r="E24" s="10">
        <f t="shared" si="24"/>
        <v>7.6</v>
      </c>
      <c r="F24" s="10">
        <f t="shared" si="25"/>
        <v>9.14666666666667</v>
      </c>
      <c r="G24" s="11">
        <f t="shared" ref="G24" si="28">E24*C24</f>
        <v>1120.924</v>
      </c>
      <c r="H24" s="12">
        <f t="shared" ref="H24" si="29">F24*C24</f>
        <v>1349.04186666667</v>
      </c>
    </row>
    <row r="25" spans="1:8">
      <c r="A25" s="5"/>
      <c r="B25" s="8"/>
      <c r="C25" s="9"/>
      <c r="D25" s="4"/>
      <c r="E25" s="10"/>
      <c r="F25" s="10"/>
      <c r="G25" s="11"/>
      <c r="H25" s="12"/>
    </row>
    <row r="26" spans="1:8">
      <c r="A26" s="5"/>
      <c r="B26" s="8" t="s">
        <v>174</v>
      </c>
      <c r="C26" s="9">
        <v>228.62</v>
      </c>
      <c r="D26" s="4">
        <v>450</v>
      </c>
      <c r="E26" s="10">
        <f t="shared" si="24"/>
        <v>7.6</v>
      </c>
      <c r="F26" s="10">
        <f t="shared" si="25"/>
        <v>9.14666666666667</v>
      </c>
      <c r="G26" s="11">
        <f t="shared" ref="G26" si="30">E26*C26</f>
        <v>1737.512</v>
      </c>
      <c r="H26" s="12">
        <f t="shared" ref="H26" si="31">F26*C26</f>
        <v>2091.11093333333</v>
      </c>
    </row>
    <row r="27" spans="1:8">
      <c r="A27" s="5"/>
      <c r="B27" s="8"/>
      <c r="C27" s="9"/>
      <c r="D27" s="4"/>
      <c r="E27" s="10"/>
      <c r="F27" s="10"/>
      <c r="G27" s="11"/>
      <c r="H27" s="12"/>
    </row>
    <row r="28" spans="1:8">
      <c r="A28" s="5"/>
      <c r="B28" s="8" t="s">
        <v>175</v>
      </c>
      <c r="C28" s="9">
        <v>50.53</v>
      </c>
      <c r="D28" s="4">
        <v>450</v>
      </c>
      <c r="E28" s="10">
        <f t="shared" si="24"/>
        <v>7.6</v>
      </c>
      <c r="F28" s="10">
        <f t="shared" si="25"/>
        <v>9.14666666666667</v>
      </c>
      <c r="G28" s="11">
        <f t="shared" ref="G28:G47" si="32">E28*C28</f>
        <v>384.028</v>
      </c>
      <c r="H28" s="12">
        <f t="shared" ref="H28:H47" si="33">F28*C28</f>
        <v>462.181066666667</v>
      </c>
    </row>
    <row r="29" spans="1:8">
      <c r="A29" s="5"/>
      <c r="B29" s="8"/>
      <c r="C29" s="9"/>
      <c r="D29" s="4"/>
      <c r="E29" s="10"/>
      <c r="F29" s="10"/>
      <c r="G29" s="11"/>
      <c r="H29" s="12"/>
    </row>
    <row r="30" spans="1:8">
      <c r="A30" s="13" t="s">
        <v>176</v>
      </c>
      <c r="B30" s="13"/>
      <c r="C30" s="13"/>
      <c r="D30" s="13"/>
      <c r="E30" s="13"/>
      <c r="F30" s="13"/>
      <c r="G30" s="13"/>
      <c r="H30" s="13"/>
    </row>
    <row r="31" spans="1:8">
      <c r="A31" s="4" t="s">
        <v>158</v>
      </c>
      <c r="B31" s="8" t="s">
        <v>159</v>
      </c>
      <c r="C31" s="9">
        <v>478.07</v>
      </c>
      <c r="D31" s="4">
        <v>1200</v>
      </c>
      <c r="E31" s="4">
        <v>2.85</v>
      </c>
      <c r="F31" s="4">
        <v>3.43</v>
      </c>
      <c r="G31" s="11">
        <f t="shared" si="32"/>
        <v>1362.4995</v>
      </c>
      <c r="H31" s="12">
        <f t="shared" si="33"/>
        <v>1639.7801</v>
      </c>
    </row>
    <row r="32" spans="1:8">
      <c r="A32" s="4"/>
      <c r="B32" s="8"/>
      <c r="C32" s="9"/>
      <c r="D32" s="4"/>
      <c r="E32" s="4"/>
      <c r="F32" s="4"/>
      <c r="G32" s="11"/>
      <c r="H32" s="12"/>
    </row>
    <row r="33" spans="1:8">
      <c r="A33" s="4"/>
      <c r="B33" s="8" t="s">
        <v>162</v>
      </c>
      <c r="C33" s="9">
        <v>14011.43</v>
      </c>
      <c r="D33" s="4">
        <v>1200</v>
      </c>
      <c r="E33" s="4">
        <v>2.85</v>
      </c>
      <c r="F33" s="4">
        <v>3.43</v>
      </c>
      <c r="G33" s="11">
        <f t="shared" si="32"/>
        <v>39932.5755</v>
      </c>
      <c r="H33" s="12">
        <f t="shared" si="33"/>
        <v>48059.2049</v>
      </c>
    </row>
    <row r="34" spans="1:8">
      <c r="A34" s="4"/>
      <c r="B34" s="8"/>
      <c r="C34" s="9"/>
      <c r="D34" s="4"/>
      <c r="E34" s="4"/>
      <c r="F34" s="4"/>
      <c r="G34" s="11"/>
      <c r="H34" s="12"/>
    </row>
    <row r="35" spans="1:8">
      <c r="A35" s="4"/>
      <c r="B35" s="8" t="s">
        <v>163</v>
      </c>
      <c r="C35" s="9">
        <v>1301.7</v>
      </c>
      <c r="D35" s="4">
        <v>450</v>
      </c>
      <c r="E35" s="4">
        <f t="shared" ref="E35:E43" si="34">3420/D35</f>
        <v>7.6</v>
      </c>
      <c r="F35" s="10">
        <f t="shared" ref="F35:F43" si="35">4116/D35</f>
        <v>9.14666666666667</v>
      </c>
      <c r="G35" s="11">
        <f t="shared" si="32"/>
        <v>9892.92</v>
      </c>
      <c r="H35" s="12">
        <f t="shared" si="33"/>
        <v>11906.216</v>
      </c>
    </row>
    <row r="36" spans="1:8">
      <c r="A36" s="4"/>
      <c r="B36" s="8"/>
      <c r="C36" s="9"/>
      <c r="D36" s="4"/>
      <c r="E36" s="4"/>
      <c r="F36" s="10"/>
      <c r="G36" s="11"/>
      <c r="H36" s="12"/>
    </row>
    <row r="37" spans="1:8">
      <c r="A37" s="4"/>
      <c r="B37" s="8" t="s">
        <v>165</v>
      </c>
      <c r="C37" s="9">
        <v>1158.08</v>
      </c>
      <c r="D37" s="4">
        <v>2500</v>
      </c>
      <c r="E37" s="4">
        <f t="shared" si="34"/>
        <v>1.368</v>
      </c>
      <c r="F37" s="10">
        <f t="shared" si="35"/>
        <v>1.6464</v>
      </c>
      <c r="G37" s="11">
        <f t="shared" si="32"/>
        <v>1584.25344</v>
      </c>
      <c r="H37" s="12">
        <f t="shared" si="33"/>
        <v>1906.662912</v>
      </c>
    </row>
    <row r="38" spans="1:8">
      <c r="A38" s="4"/>
      <c r="B38" s="8"/>
      <c r="C38" s="9"/>
      <c r="D38" s="4"/>
      <c r="E38" s="4"/>
      <c r="F38" s="10"/>
      <c r="G38" s="11"/>
      <c r="H38" s="12"/>
    </row>
    <row r="39" spans="1:8">
      <c r="A39" s="4"/>
      <c r="B39" s="8" t="s">
        <v>166</v>
      </c>
      <c r="C39" s="9">
        <v>13.86</v>
      </c>
      <c r="D39" s="4">
        <v>1800</v>
      </c>
      <c r="E39" s="4">
        <f t="shared" si="34"/>
        <v>1.9</v>
      </c>
      <c r="F39" s="10">
        <f t="shared" si="35"/>
        <v>2.28666666666667</v>
      </c>
      <c r="G39" s="11">
        <f t="shared" si="32"/>
        <v>26.334</v>
      </c>
      <c r="H39" s="12">
        <f t="shared" si="33"/>
        <v>31.6932</v>
      </c>
    </row>
    <row r="40" spans="1:8">
      <c r="A40" s="4"/>
      <c r="B40" s="8"/>
      <c r="C40" s="9"/>
      <c r="D40" s="4"/>
      <c r="E40" s="4"/>
      <c r="F40" s="10"/>
      <c r="G40" s="11"/>
      <c r="H40" s="12"/>
    </row>
    <row r="41" spans="1:8">
      <c r="A41" s="4"/>
      <c r="B41" s="8" t="s">
        <v>167</v>
      </c>
      <c r="C41" s="9">
        <v>1122.91</v>
      </c>
      <c r="D41" s="4">
        <v>1500</v>
      </c>
      <c r="E41" s="4">
        <f t="shared" si="34"/>
        <v>2.28</v>
      </c>
      <c r="F41" s="10">
        <f t="shared" si="35"/>
        <v>2.744</v>
      </c>
      <c r="G41" s="11">
        <f t="shared" si="32"/>
        <v>2560.2348</v>
      </c>
      <c r="H41" s="12">
        <f t="shared" si="33"/>
        <v>3081.26504</v>
      </c>
    </row>
    <row r="42" spans="1:8">
      <c r="A42" s="4"/>
      <c r="B42" s="8"/>
      <c r="C42" s="9"/>
      <c r="D42" s="4"/>
      <c r="E42" s="4"/>
      <c r="F42" s="10"/>
      <c r="G42" s="11"/>
      <c r="H42" s="12"/>
    </row>
    <row r="43" spans="1:8">
      <c r="A43" s="4"/>
      <c r="B43" s="8" t="s">
        <v>168</v>
      </c>
      <c r="C43" s="9">
        <v>652.7</v>
      </c>
      <c r="D43" s="4">
        <v>300</v>
      </c>
      <c r="E43" s="4">
        <f t="shared" si="34"/>
        <v>11.4</v>
      </c>
      <c r="F43" s="10">
        <f t="shared" si="35"/>
        <v>13.72</v>
      </c>
      <c r="G43" s="11">
        <f t="shared" si="32"/>
        <v>7440.78</v>
      </c>
      <c r="H43" s="12">
        <f t="shared" si="33"/>
        <v>8955.044</v>
      </c>
    </row>
    <row r="44" spans="1:8">
      <c r="A44" s="4"/>
      <c r="B44" s="8"/>
      <c r="C44" s="9"/>
      <c r="D44" s="4"/>
      <c r="E44" s="4"/>
      <c r="F44" s="10"/>
      <c r="G44" s="11"/>
      <c r="H44" s="12"/>
    </row>
    <row r="45" spans="1:8">
      <c r="A45" s="4" t="s">
        <v>169</v>
      </c>
      <c r="B45" s="8" t="s">
        <v>170</v>
      </c>
      <c r="C45" s="9">
        <v>3175.56</v>
      </c>
      <c r="D45" s="4">
        <v>2700</v>
      </c>
      <c r="E45" s="4">
        <v>1.27</v>
      </c>
      <c r="F45" s="4">
        <v>1.53</v>
      </c>
      <c r="G45" s="11">
        <f t="shared" si="32"/>
        <v>4032.9612</v>
      </c>
      <c r="H45" s="12">
        <f t="shared" si="33"/>
        <v>4858.6068</v>
      </c>
    </row>
    <row r="46" spans="1:8">
      <c r="A46" s="4"/>
      <c r="B46" s="8"/>
      <c r="C46" s="9"/>
      <c r="D46" s="4"/>
      <c r="E46" s="4"/>
      <c r="F46" s="4"/>
      <c r="G46" s="11"/>
      <c r="H46" s="12"/>
    </row>
    <row r="47" spans="1:8">
      <c r="A47" s="5" t="s">
        <v>171</v>
      </c>
      <c r="B47" s="8" t="s">
        <v>163</v>
      </c>
      <c r="C47" s="9">
        <v>130.45</v>
      </c>
      <c r="D47" s="4">
        <v>450</v>
      </c>
      <c r="E47" s="4">
        <f t="shared" ref="E47" si="36">3420/D47</f>
        <v>7.6</v>
      </c>
      <c r="F47" s="10">
        <f t="shared" ref="F47" si="37">4116/D47</f>
        <v>9.14666666666667</v>
      </c>
      <c r="G47" s="11">
        <f t="shared" si="32"/>
        <v>991.42</v>
      </c>
      <c r="H47" s="12">
        <f t="shared" si="33"/>
        <v>1193.18266666667</v>
      </c>
    </row>
    <row r="48" spans="1:8">
      <c r="A48" s="5"/>
      <c r="B48" s="8"/>
      <c r="C48" s="9"/>
      <c r="D48" s="4"/>
      <c r="E48" s="4"/>
      <c r="F48" s="10"/>
      <c r="G48" s="11"/>
      <c r="H48" s="12"/>
    </row>
    <row r="49" spans="1:8">
      <c r="A49" s="13" t="s">
        <v>177</v>
      </c>
      <c r="B49" s="13"/>
      <c r="C49" s="13"/>
      <c r="D49" s="13"/>
      <c r="E49" s="13"/>
      <c r="F49" s="13"/>
      <c r="G49" s="13"/>
      <c r="H49" s="13"/>
    </row>
    <row r="50" spans="1:8">
      <c r="A50" s="4" t="s">
        <v>158</v>
      </c>
      <c r="B50" s="8" t="s">
        <v>162</v>
      </c>
      <c r="C50" s="9">
        <v>12537.14</v>
      </c>
      <c r="D50" s="4">
        <v>1200</v>
      </c>
      <c r="E50" s="4">
        <v>2.85</v>
      </c>
      <c r="F50" s="14">
        <v>3.43</v>
      </c>
      <c r="G50" s="11">
        <f t="shared" ref="G50:G60" si="38">E50*C50</f>
        <v>35730.849</v>
      </c>
      <c r="H50" s="12">
        <f t="shared" ref="H50:H60" si="39">F50*C50</f>
        <v>43002.3902</v>
      </c>
    </row>
    <row r="51" spans="1:8">
      <c r="A51" s="4"/>
      <c r="B51" s="8"/>
      <c r="C51" s="9"/>
      <c r="D51" s="4"/>
      <c r="E51" s="4"/>
      <c r="F51" s="14"/>
      <c r="G51" s="11"/>
      <c r="H51" s="12"/>
    </row>
    <row r="52" spans="1:8">
      <c r="A52" s="4"/>
      <c r="B52" s="8" t="s">
        <v>163</v>
      </c>
      <c r="C52" s="9">
        <v>880.02</v>
      </c>
      <c r="D52" s="4">
        <v>450</v>
      </c>
      <c r="E52" s="4">
        <f t="shared" ref="E52:E58" si="40">3420/D52</f>
        <v>7.6</v>
      </c>
      <c r="F52" s="14">
        <f t="shared" ref="F52:F58" si="41">4116/D52</f>
        <v>9.14666666666667</v>
      </c>
      <c r="G52" s="11">
        <f t="shared" si="38"/>
        <v>6688.152</v>
      </c>
      <c r="H52" s="12">
        <f t="shared" si="39"/>
        <v>8049.2496</v>
      </c>
    </row>
    <row r="53" spans="1:8">
      <c r="A53" s="4"/>
      <c r="B53" s="8"/>
      <c r="C53" s="9"/>
      <c r="D53" s="4"/>
      <c r="E53" s="4"/>
      <c r="F53" s="14"/>
      <c r="G53" s="11"/>
      <c r="H53" s="12"/>
    </row>
    <row r="54" spans="1:8">
      <c r="A54" s="4"/>
      <c r="B54" s="8" t="s">
        <v>165</v>
      </c>
      <c r="C54" s="9">
        <v>71.68</v>
      </c>
      <c r="D54" s="4">
        <v>2500</v>
      </c>
      <c r="E54" s="4">
        <f t="shared" si="40"/>
        <v>1.368</v>
      </c>
      <c r="F54" s="14">
        <f t="shared" si="41"/>
        <v>1.6464</v>
      </c>
      <c r="G54" s="11">
        <f t="shared" si="38"/>
        <v>98.05824</v>
      </c>
      <c r="H54" s="12">
        <f t="shared" si="39"/>
        <v>118.013952</v>
      </c>
    </row>
    <row r="55" spans="1:8">
      <c r="A55" s="4"/>
      <c r="B55" s="8"/>
      <c r="C55" s="9"/>
      <c r="D55" s="4"/>
      <c r="E55" s="4"/>
      <c r="F55" s="14"/>
      <c r="G55" s="11"/>
      <c r="H55" s="12"/>
    </row>
    <row r="56" spans="1:8">
      <c r="A56" s="4"/>
      <c r="B56" s="8" t="s">
        <v>167</v>
      </c>
      <c r="C56" s="9">
        <v>2178.85</v>
      </c>
      <c r="D56" s="4">
        <v>1500</v>
      </c>
      <c r="E56" s="4">
        <f t="shared" si="40"/>
        <v>2.28</v>
      </c>
      <c r="F56" s="14">
        <f t="shared" si="41"/>
        <v>2.744</v>
      </c>
      <c r="G56" s="11">
        <f t="shared" si="38"/>
        <v>4967.778</v>
      </c>
      <c r="H56" s="12">
        <f t="shared" si="39"/>
        <v>5978.7644</v>
      </c>
    </row>
    <row r="57" spans="1:8">
      <c r="A57" s="4"/>
      <c r="B57" s="8"/>
      <c r="C57" s="9"/>
      <c r="D57" s="4"/>
      <c r="E57" s="4"/>
      <c r="F57" s="14"/>
      <c r="G57" s="11"/>
      <c r="H57" s="12"/>
    </row>
    <row r="58" spans="1:8">
      <c r="A58" s="4"/>
      <c r="B58" s="8" t="s">
        <v>168</v>
      </c>
      <c r="C58" s="9">
        <v>677.57</v>
      </c>
      <c r="D58" s="4">
        <v>300</v>
      </c>
      <c r="E58" s="4">
        <f t="shared" si="40"/>
        <v>11.4</v>
      </c>
      <c r="F58" s="14">
        <f t="shared" si="41"/>
        <v>13.72</v>
      </c>
      <c r="G58" s="11">
        <f t="shared" si="38"/>
        <v>7724.298</v>
      </c>
      <c r="H58" s="12">
        <f t="shared" si="39"/>
        <v>9296.2604</v>
      </c>
    </row>
    <row r="59" spans="1:8">
      <c r="A59" s="4"/>
      <c r="B59" s="8"/>
      <c r="C59" s="9"/>
      <c r="D59" s="4"/>
      <c r="E59" s="4"/>
      <c r="F59" s="14"/>
      <c r="G59" s="11"/>
      <c r="H59" s="12"/>
    </row>
    <row r="60" spans="1:8">
      <c r="A60" s="4" t="s">
        <v>169</v>
      </c>
      <c r="B60" s="8" t="s">
        <v>170</v>
      </c>
      <c r="C60" s="9">
        <v>1903.41</v>
      </c>
      <c r="D60" s="4">
        <v>2700</v>
      </c>
      <c r="E60" s="4">
        <v>1.27</v>
      </c>
      <c r="F60" s="14">
        <v>1.53</v>
      </c>
      <c r="G60" s="11">
        <f t="shared" si="38"/>
        <v>2417.3307</v>
      </c>
      <c r="H60" s="12">
        <f t="shared" si="39"/>
        <v>2912.2173</v>
      </c>
    </row>
    <row r="61" spans="1:8">
      <c r="A61" s="4"/>
      <c r="B61" s="8"/>
      <c r="C61" s="9"/>
      <c r="D61" s="4"/>
      <c r="E61" s="4"/>
      <c r="F61" s="14"/>
      <c r="G61" s="11"/>
      <c r="H61" s="12"/>
    </row>
    <row r="62" spans="1:8">
      <c r="A62" s="7" t="s">
        <v>178</v>
      </c>
      <c r="B62" s="7"/>
      <c r="C62" s="7"/>
      <c r="D62" s="7"/>
      <c r="E62" s="7"/>
      <c r="F62" s="7"/>
      <c r="G62" s="7"/>
      <c r="H62" s="7"/>
    </row>
    <row r="63" spans="1:8">
      <c r="A63" s="4" t="s">
        <v>158</v>
      </c>
      <c r="B63" s="8" t="s">
        <v>159</v>
      </c>
      <c r="C63" s="9">
        <v>194.81</v>
      </c>
      <c r="D63" s="4">
        <v>1200</v>
      </c>
      <c r="E63" s="4">
        <v>2.85</v>
      </c>
      <c r="F63" s="15">
        <v>3.43</v>
      </c>
      <c r="G63" s="11">
        <f t="shared" ref="G63:G75" si="42">E63*C63</f>
        <v>555.2085</v>
      </c>
      <c r="H63" s="12">
        <f t="shared" ref="H63:H73" si="43">F63*C63</f>
        <v>668.1983</v>
      </c>
    </row>
    <row r="64" spans="1:8">
      <c r="A64" s="4"/>
      <c r="B64" s="8"/>
      <c r="C64" s="9"/>
      <c r="D64" s="4"/>
      <c r="E64" s="4"/>
      <c r="F64" s="15"/>
      <c r="G64" s="11"/>
      <c r="H64" s="12"/>
    </row>
    <row r="65" spans="1:8">
      <c r="A65" s="4"/>
      <c r="B65" s="8" t="s">
        <v>162</v>
      </c>
      <c r="C65" s="9">
        <v>2904.89</v>
      </c>
      <c r="D65" s="4">
        <v>1200</v>
      </c>
      <c r="E65" s="4">
        <v>2.85</v>
      </c>
      <c r="F65" s="15">
        <v>3.43</v>
      </c>
      <c r="G65" s="11">
        <f t="shared" si="42"/>
        <v>8278.9365</v>
      </c>
      <c r="H65" s="12">
        <f t="shared" si="43"/>
        <v>9963.7727</v>
      </c>
    </row>
    <row r="66" spans="1:8">
      <c r="A66" s="4"/>
      <c r="B66" s="8"/>
      <c r="C66" s="9"/>
      <c r="D66" s="4"/>
      <c r="E66" s="4"/>
      <c r="F66" s="15"/>
      <c r="G66" s="11"/>
      <c r="H66" s="12"/>
    </row>
    <row r="67" spans="1:8">
      <c r="A67" s="4"/>
      <c r="B67" s="8" t="s">
        <v>163</v>
      </c>
      <c r="C67" s="9">
        <v>1005.64</v>
      </c>
      <c r="D67" s="4">
        <v>450</v>
      </c>
      <c r="E67" s="4">
        <f t="shared" ref="E67:E73" si="44">3420/D67</f>
        <v>7.6</v>
      </c>
      <c r="F67" s="15">
        <f t="shared" ref="F67:F73" si="45">4116/D67</f>
        <v>9.14666666666667</v>
      </c>
      <c r="G67" s="11">
        <f t="shared" si="42"/>
        <v>7642.864</v>
      </c>
      <c r="H67" s="12">
        <f t="shared" si="43"/>
        <v>9198.25386666667</v>
      </c>
    </row>
    <row r="68" spans="1:8">
      <c r="A68" s="4"/>
      <c r="B68" s="8"/>
      <c r="C68" s="9"/>
      <c r="D68" s="4"/>
      <c r="E68" s="4"/>
      <c r="F68" s="15"/>
      <c r="G68" s="11"/>
      <c r="H68" s="12"/>
    </row>
    <row r="69" spans="1:8">
      <c r="A69" s="4"/>
      <c r="B69" s="8" t="s">
        <v>165</v>
      </c>
      <c r="C69" s="9">
        <v>144.27</v>
      </c>
      <c r="D69" s="4">
        <v>2500</v>
      </c>
      <c r="E69" s="4">
        <f t="shared" si="44"/>
        <v>1.368</v>
      </c>
      <c r="F69" s="15">
        <f t="shared" si="45"/>
        <v>1.6464</v>
      </c>
      <c r="G69" s="11">
        <f t="shared" si="42"/>
        <v>197.36136</v>
      </c>
      <c r="H69" s="12">
        <f t="shared" si="43"/>
        <v>237.526128</v>
      </c>
    </row>
    <row r="70" spans="1:8">
      <c r="A70" s="4"/>
      <c r="B70" s="8"/>
      <c r="C70" s="9"/>
      <c r="D70" s="4"/>
      <c r="E70" s="4"/>
      <c r="F70" s="15"/>
      <c r="G70" s="11"/>
      <c r="H70" s="12"/>
    </row>
    <row r="71" spans="1:8">
      <c r="A71" s="4"/>
      <c r="B71" s="8" t="s">
        <v>167</v>
      </c>
      <c r="C71" s="9">
        <v>459.51</v>
      </c>
      <c r="D71" s="4">
        <v>1500</v>
      </c>
      <c r="E71" s="4">
        <f t="shared" si="44"/>
        <v>2.28</v>
      </c>
      <c r="F71" s="15">
        <f t="shared" si="45"/>
        <v>2.744</v>
      </c>
      <c r="G71" s="11">
        <f t="shared" si="42"/>
        <v>1047.6828</v>
      </c>
      <c r="H71" s="12">
        <f t="shared" si="43"/>
        <v>1260.89544</v>
      </c>
    </row>
    <row r="72" spans="1:8">
      <c r="A72" s="4"/>
      <c r="B72" s="8"/>
      <c r="C72" s="9"/>
      <c r="D72" s="4"/>
      <c r="E72" s="4"/>
      <c r="F72" s="15"/>
      <c r="G72" s="11"/>
      <c r="H72" s="12"/>
    </row>
    <row r="73" spans="1:8">
      <c r="A73" s="4"/>
      <c r="B73" s="8" t="s">
        <v>168</v>
      </c>
      <c r="C73" s="9">
        <v>675.35</v>
      </c>
      <c r="D73" s="4">
        <v>300</v>
      </c>
      <c r="E73" s="4">
        <f t="shared" si="44"/>
        <v>11.4</v>
      </c>
      <c r="F73" s="15">
        <f t="shared" si="45"/>
        <v>13.72</v>
      </c>
      <c r="G73" s="11">
        <f t="shared" si="42"/>
        <v>7698.99</v>
      </c>
      <c r="H73" s="12">
        <f t="shared" si="43"/>
        <v>9265.802</v>
      </c>
    </row>
    <row r="74" spans="1:8">
      <c r="A74" s="4"/>
      <c r="B74" s="8"/>
      <c r="C74" s="9"/>
      <c r="D74" s="4"/>
      <c r="E74" s="4"/>
      <c r="F74" s="15"/>
      <c r="G74" s="11"/>
      <c r="H74" s="12"/>
    </row>
    <row r="75" spans="1:8">
      <c r="A75" s="4" t="s">
        <v>169</v>
      </c>
      <c r="B75" s="8" t="s">
        <v>170</v>
      </c>
      <c r="C75" s="9">
        <v>1931.32</v>
      </c>
      <c r="D75" s="4">
        <v>2700</v>
      </c>
      <c r="E75" s="4">
        <v>1.27</v>
      </c>
      <c r="F75" s="15">
        <v>1.53</v>
      </c>
      <c r="G75" s="11">
        <f t="shared" si="42"/>
        <v>2452.7764</v>
      </c>
      <c r="H75" s="12">
        <f>F75*C75</f>
        <v>2954.9196</v>
      </c>
    </row>
    <row r="76" spans="1:8">
      <c r="A76" s="4"/>
      <c r="B76" s="8"/>
      <c r="C76" s="9"/>
      <c r="D76" s="4"/>
      <c r="E76" s="4"/>
      <c r="F76" s="15"/>
      <c r="G76" s="11"/>
      <c r="H76" s="12"/>
    </row>
    <row r="77" spans="1:8">
      <c r="A77" s="7" t="s">
        <v>179</v>
      </c>
      <c r="B77" s="7"/>
      <c r="C77" s="7"/>
      <c r="D77" s="7"/>
      <c r="E77" s="7"/>
      <c r="F77" s="7"/>
      <c r="G77" s="7"/>
      <c r="H77" s="7"/>
    </row>
    <row r="78" spans="1:8">
      <c r="A78" s="4"/>
      <c r="B78" s="8" t="s">
        <v>162</v>
      </c>
      <c r="C78" s="9">
        <v>287.36</v>
      </c>
      <c r="D78" s="4" t="s">
        <v>180</v>
      </c>
      <c r="E78" s="4" t="s">
        <v>180</v>
      </c>
      <c r="F78" s="4" t="s">
        <v>180</v>
      </c>
      <c r="G78" s="4">
        <f>'complemento serviços limpeza'!H78:H82</f>
        <v>4634.6</v>
      </c>
      <c r="H78" s="4">
        <f>G78</f>
        <v>4634.6</v>
      </c>
    </row>
    <row r="79" spans="1:8">
      <c r="A79" s="4"/>
      <c r="B79" s="8" t="s">
        <v>165</v>
      </c>
      <c r="C79" s="9">
        <v>23.58</v>
      </c>
      <c r="D79" s="4"/>
      <c r="E79" s="4"/>
      <c r="F79" s="4"/>
      <c r="G79" s="4"/>
      <c r="H79" s="4"/>
    </row>
    <row r="80" ht="22.5" spans="1:8">
      <c r="A80" s="4"/>
      <c r="B80" s="8" t="s">
        <v>167</v>
      </c>
      <c r="C80" s="9">
        <v>7.08</v>
      </c>
      <c r="D80" s="4"/>
      <c r="E80" s="4"/>
      <c r="F80" s="4"/>
      <c r="G80" s="4"/>
      <c r="H80" s="4"/>
    </row>
    <row r="81" spans="1:8">
      <c r="A81" s="4"/>
      <c r="B81" s="8" t="s">
        <v>168</v>
      </c>
      <c r="C81" s="9">
        <v>18.52</v>
      </c>
      <c r="D81" s="4"/>
      <c r="E81" s="4"/>
      <c r="F81" s="4"/>
      <c r="G81" s="4"/>
      <c r="H81" s="4"/>
    </row>
    <row r="82" ht="33.75" spans="1:8">
      <c r="A82" s="4" t="s">
        <v>169</v>
      </c>
      <c r="B82" s="8" t="s">
        <v>170</v>
      </c>
      <c r="C82" s="9">
        <v>306.13</v>
      </c>
      <c r="D82" s="4"/>
      <c r="E82" s="4"/>
      <c r="F82" s="4"/>
      <c r="G82" s="4"/>
      <c r="H82" s="4"/>
    </row>
    <row r="83" spans="1:8">
      <c r="A83" s="7" t="s">
        <v>181</v>
      </c>
      <c r="B83" s="7"/>
      <c r="C83" s="7"/>
      <c r="D83" s="7"/>
      <c r="E83" s="7"/>
      <c r="F83" s="7"/>
      <c r="G83" s="7"/>
      <c r="H83" s="7"/>
    </row>
    <row r="84" spans="1:8">
      <c r="A84" s="10" t="s">
        <v>182</v>
      </c>
      <c r="B84" s="10"/>
      <c r="C84" s="10"/>
      <c r="D84" s="10"/>
      <c r="E84" s="10"/>
      <c r="F84" s="10"/>
      <c r="G84" s="10">
        <f>SUM(G4:G83)</f>
        <v>529634.39106</v>
      </c>
      <c r="H84" s="10">
        <f>SUM(H4:H83)</f>
        <v>636501.567334667</v>
      </c>
    </row>
    <row r="85" spans="1:8">
      <c r="A85" s="10" t="s">
        <v>183</v>
      </c>
      <c r="B85" s="10"/>
      <c r="C85" s="10"/>
      <c r="D85" s="10"/>
      <c r="E85" s="10"/>
      <c r="F85" s="10"/>
      <c r="G85" s="10">
        <f>G84*12</f>
        <v>6355612.69272</v>
      </c>
      <c r="H85" s="10">
        <f>H84*12</f>
        <v>7638018.808016</v>
      </c>
    </row>
  </sheetData>
  <mergeCells count="270">
    <mergeCell ref="A1:H1"/>
    <mergeCell ref="A3:H3"/>
    <mergeCell ref="A30:H30"/>
    <mergeCell ref="A49:H49"/>
    <mergeCell ref="A62:H62"/>
    <mergeCell ref="A77:H77"/>
    <mergeCell ref="A83:G83"/>
    <mergeCell ref="A84:F84"/>
    <mergeCell ref="A85:F85"/>
    <mergeCell ref="A4:A19"/>
    <mergeCell ref="A20:A21"/>
    <mergeCell ref="A22:A29"/>
    <mergeCell ref="A31:A44"/>
    <mergeCell ref="A45:A46"/>
    <mergeCell ref="A47:A48"/>
    <mergeCell ref="A50:A59"/>
    <mergeCell ref="A60:A61"/>
    <mergeCell ref="A63:A74"/>
    <mergeCell ref="A75:A76"/>
    <mergeCell ref="A78:A8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0:B51"/>
    <mergeCell ref="B52:B53"/>
    <mergeCell ref="B54:B55"/>
    <mergeCell ref="B56:B57"/>
    <mergeCell ref="B58:B59"/>
    <mergeCell ref="B60:B61"/>
    <mergeCell ref="B63:B64"/>
    <mergeCell ref="B65:B66"/>
    <mergeCell ref="B67:B68"/>
    <mergeCell ref="B69:B70"/>
    <mergeCell ref="B71:B72"/>
    <mergeCell ref="B73:B74"/>
    <mergeCell ref="B75:B7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50:C51"/>
    <mergeCell ref="C52:C53"/>
    <mergeCell ref="C54:C55"/>
    <mergeCell ref="C56:C57"/>
    <mergeCell ref="C58:C59"/>
    <mergeCell ref="C60:C61"/>
    <mergeCell ref="C63:C64"/>
    <mergeCell ref="C65:C66"/>
    <mergeCell ref="C67:C68"/>
    <mergeCell ref="C69:C70"/>
    <mergeCell ref="C71:C72"/>
    <mergeCell ref="C73:C74"/>
    <mergeCell ref="C75:C76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50:D51"/>
    <mergeCell ref="D52:D53"/>
    <mergeCell ref="D54:D55"/>
    <mergeCell ref="D56:D57"/>
    <mergeCell ref="D58:D59"/>
    <mergeCell ref="D60:D61"/>
    <mergeCell ref="D63:D64"/>
    <mergeCell ref="D65:D66"/>
    <mergeCell ref="D67:D68"/>
    <mergeCell ref="D69:D70"/>
    <mergeCell ref="D71:D72"/>
    <mergeCell ref="D73:D74"/>
    <mergeCell ref="D75:D76"/>
    <mergeCell ref="D78:D8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50:E51"/>
    <mergeCell ref="E52:E53"/>
    <mergeCell ref="E54:E55"/>
    <mergeCell ref="E56:E57"/>
    <mergeCell ref="E58:E59"/>
    <mergeCell ref="E60:E61"/>
    <mergeCell ref="E63:E64"/>
    <mergeCell ref="E65:E66"/>
    <mergeCell ref="E67:E68"/>
    <mergeCell ref="E69:E70"/>
    <mergeCell ref="E71:E72"/>
    <mergeCell ref="E73:E74"/>
    <mergeCell ref="E75:E76"/>
    <mergeCell ref="E78:E8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50:F51"/>
    <mergeCell ref="F52:F53"/>
    <mergeCell ref="F54:F55"/>
    <mergeCell ref="F56:F57"/>
    <mergeCell ref="F58:F59"/>
    <mergeCell ref="F60:F61"/>
    <mergeCell ref="F63:F64"/>
    <mergeCell ref="F65:F66"/>
    <mergeCell ref="F67:F68"/>
    <mergeCell ref="F69:F70"/>
    <mergeCell ref="F71:F72"/>
    <mergeCell ref="F73:F74"/>
    <mergeCell ref="F75:F76"/>
    <mergeCell ref="F78:F82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50:G51"/>
    <mergeCell ref="G52:G53"/>
    <mergeCell ref="G54:G55"/>
    <mergeCell ref="G56:G57"/>
    <mergeCell ref="G58:G59"/>
    <mergeCell ref="G60:G61"/>
    <mergeCell ref="G63:G64"/>
    <mergeCell ref="G65:G66"/>
    <mergeCell ref="G67:G68"/>
    <mergeCell ref="G69:G70"/>
    <mergeCell ref="G71:G72"/>
    <mergeCell ref="G73:G74"/>
    <mergeCell ref="G75:G76"/>
    <mergeCell ref="G78:G82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50:H51"/>
    <mergeCell ref="H52:H53"/>
    <mergeCell ref="H54:H55"/>
    <mergeCell ref="H56:H57"/>
    <mergeCell ref="H58:H59"/>
    <mergeCell ref="H60:H61"/>
    <mergeCell ref="H63:H64"/>
    <mergeCell ref="H65:H66"/>
    <mergeCell ref="H67:H68"/>
    <mergeCell ref="H69:H70"/>
    <mergeCell ref="H71:H72"/>
    <mergeCell ref="H73:H74"/>
    <mergeCell ref="H75:H76"/>
    <mergeCell ref="H78:H82"/>
  </mergeCells>
  <pageMargins left="0.511805555555556" right="0.511805555555556" top="0.786805555555556" bottom="0.786805555555556" header="0.313888888888889" footer="0.313888888888889"/>
  <pageSetup paperSize="9"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workbookViewId="0">
      <selection activeCell="C3" sqref="C3:E3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11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38.25" spans="1:5">
      <c r="A15" s="43" t="s">
        <v>130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1088.47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1088.47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>
        <f>E16*0.3</f>
        <v>326.541</v>
      </c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/>
      <c r="E21" s="54" t="s">
        <v>131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1415.011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117.87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39.33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157.2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59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216.2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283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35.37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21.22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14.15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8.49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2.83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113.2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53.06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531.32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3.2</v>
      </c>
      <c r="D47" s="65">
        <f>ROUNDDOWN(C47*21.73*2,2)</f>
        <v>139.07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1088.47</v>
      </c>
      <c r="D48" s="66">
        <f>ROUNDDOWN(-C48*0.06,2)</f>
        <v>-65.3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473.85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216.2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531.32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473.85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1221.37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6.53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0.5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3.39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26.13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9.8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60.78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107.13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128.62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19.1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0.7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3.67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9.62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161.71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24.62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60.7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v>12.16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259.19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259.19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259.19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43.5391645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326.9941389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370.5333034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101.19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177.19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606.82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393.91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212.92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885.21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4258.4373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1415.011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1221.37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107.13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259.19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370.5333034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3373.23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885.21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4258.44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11.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11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spans="1:5">
      <c r="A15" s="43" t="s">
        <v>132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1088.47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1088.47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/>
      <c r="E21" s="54" t="s">
        <v>39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1088.47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90.66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30.25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120.91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45.38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166.29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217.69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27.21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16.32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10.88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6.53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2.17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87.07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40.81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408.68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3.2</v>
      </c>
      <c r="D47" s="65">
        <f>ROUNDDOWN(C47*21.73*2,2)</f>
        <v>139.07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1088.47</v>
      </c>
      <c r="D48" s="66">
        <f>ROUNDDOWN(-C48*0.06,2)</f>
        <v>-65.3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473.85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166.29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408.68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473.85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1048.82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5.02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0.39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2.61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20.1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7.54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46.76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82.42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v>0.0909</v>
      </c>
      <c r="D73" s="72">
        <f>ROUNDDOWN(C73*$D$25,2)</f>
        <v>98.94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14.69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0.54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2.83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7.4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124.4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18.93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46.69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9.36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199.38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199.38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199.38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35.076805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263.438901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298.515706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81.52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142.75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488.88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317.34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171.53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713.14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3430.7521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1088.47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1048.82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82.42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199.38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298.515706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2717.6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713.14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3430.74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43" workbookViewId="0">
      <selection activeCell="C136" sqref="C136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11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38.25" spans="1:5">
      <c r="A15" s="43" t="s">
        <v>133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1088.47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1088.47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>
        <f>E11*0.2</f>
        <v>199.6</v>
      </c>
      <c r="E21" s="54" t="s">
        <v>131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1288.07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107.29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35.8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143.09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53.71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196.8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257.61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32.2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19.32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12.88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7.72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2.57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103.04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48.3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483.64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3.2</v>
      </c>
      <c r="D47" s="65">
        <f>ROUNDDOWN(C47*21.73*2,2)</f>
        <v>139.07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1088.47</v>
      </c>
      <c r="D48" s="66">
        <f>ROUNDDOWN(-C48*0.06,2)</f>
        <v>-65.3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473.85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196.8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483.64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473.85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1154.29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v>0.00462</v>
      </c>
      <c r="D63" s="72">
        <f t="shared" ref="D63:D68" si="1">ROUNDDOWN(C63*$D$25,2)</f>
        <v>5.95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0.46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3.09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23.79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8.92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55.33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97.54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117.08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17.38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0.64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3.34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8.75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147.19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22.41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55.25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11.07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235.92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235.92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235.92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40.24939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302.286798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342.536188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93.55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163.8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560.97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364.14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196.83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818.32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3936.6763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1288.07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1154.29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97.54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235.92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342.536188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3118.35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818.32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3936.67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11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38.25" spans="1:5">
      <c r="A15" s="43" t="s">
        <v>134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1088.47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1088.47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>
        <f>E11*0.4</f>
        <v>399.2</v>
      </c>
      <c r="E21" s="54" t="s">
        <v>131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1487.67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123.92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41.35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165.27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62.03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227.3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297.53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37.19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22.31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14.87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8.92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2.97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119.01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55.78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558.58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3.2</v>
      </c>
      <c r="D47" s="65">
        <f>ROUNDDOWN(C47*21.73*2,2)</f>
        <v>139.07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1088.47</v>
      </c>
      <c r="D48" s="66">
        <f>ROUNDDOWN(-C48*0.06,2)</f>
        <v>-65.3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473.85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227.3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558.58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473.85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1259.73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6.87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0.53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3.57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27.47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10.3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63.91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112.65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135.22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20.08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0.74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3.86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10.11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170.01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25.88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63.82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12.79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272.5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272.5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272.5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45.421975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341.134695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386.55667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105.57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184.85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633.06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410.94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222.12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923.48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4442.5889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1487.67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1259.73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112.65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272.5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386.55667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3519.1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923.48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4442.58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tabSelected="1" zoomScale="115" zoomScaleNormal="115" topLeftCell="A104" workbookViewId="0">
      <selection activeCell="A115" sqref="A115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135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25.5" spans="1:5">
      <c r="A15" s="43" t="s">
        <v>28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1544.93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1544.93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/>
      <c r="E21" s="54" t="s">
        <v>39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1544.93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128.69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42.94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171.63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64.42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236.05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308.98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38.62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23.17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15.44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9.26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3.08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123.59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57.93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580.07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2.7</v>
      </c>
      <c r="D47" s="65">
        <f>ROUNDDOWN(C47*21.73*2,2)</f>
        <v>117.34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1544.93</v>
      </c>
      <c r="D48" s="66">
        <f>ROUNDDOWN(-C48*0.06,2)</f>
        <v>-92.69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424.73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236.05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580.07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424.73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1240.85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7.13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0.55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3.7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28.53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10.7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66.37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116.98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140.43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20.85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0.77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4.01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10.5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176.56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26.88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66.27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13.28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282.99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282.99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282.99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(D92+D69+D60+D25)*1.23%</f>
        <v>39.184725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/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39.184725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96.74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169.4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0.1225</v>
      </c>
      <c r="D103" s="66">
        <f>ROUNDDOWN(C103*$D$109,2)</f>
        <v>487.35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368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0.03</v>
      </c>
      <c r="D106" s="66">
        <f>ROUNDDOWN(C106*$D$109,2)</f>
        <v>119.35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753.49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0.8775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3978.4273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1544.93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1240.85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116.98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282.99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39.184725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3224.93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753.49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3978.42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136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spans="1:5">
      <c r="A15" s="43" t="s">
        <v>132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1088.47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1088.47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/>
      <c r="E21" s="54" t="s">
        <v>39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1088.47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90.66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30.25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120.91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45.38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166.29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217.69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27.21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16.32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10.88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6.53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2.17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87.07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40.81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408.68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2.7</v>
      </c>
      <c r="D47" s="65">
        <f>ROUNDDOWN(C47*21.73*2,2)</f>
        <v>117.34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1088.47</v>
      </c>
      <c r="D48" s="66">
        <f>ROUNDDOWN(-C48*0.06,2)</f>
        <v>-65.3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452.12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166.29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408.68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452.12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1027.09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5.02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0.39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2.61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20.1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7.54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46.76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82.42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98.94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v>0.0135</v>
      </c>
      <c r="D74" s="54">
        <f>ROUNDDOWN(C74*$D$25,2)</f>
        <v>14.69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0.54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2.83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7.4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137</v>
      </c>
      <c r="B79" s="57"/>
      <c r="C79" s="71">
        <f>SUM(C73:C78)</f>
        <v>0.1143</v>
      </c>
      <c r="D79" s="72">
        <f>SUM(D73:D78)</f>
        <v>124.4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18.93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46.69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9.36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199.38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199.38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199.38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34.76172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261.072504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295.834224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80.79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141.47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0.1225</v>
      </c>
      <c r="D103" s="66">
        <f>ROUNDDOWN(C103*$D$109,2)</f>
        <v>407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307.33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0.03</v>
      </c>
      <c r="D106" s="66">
        <f>ROUNDDOWN(C106*$D$109,2)</f>
        <v>99.67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629.26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0.8775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3322.4501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1088.47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1027.09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82.42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199.38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295.834224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2693.19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629.26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3322.45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0416666666667" right="0.510416666666667" top="0.7875" bottom="0.7875" header="0.510416666666667" footer="0.510416666666667"/>
  <pageSetup paperSize="9" scale="70" firstPageNumber="0" fitToHeight="2" orientation="portrait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135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100" t="s">
        <v>16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38.25" spans="1:5">
      <c r="A15" s="43" t="s">
        <v>134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31</v>
      </c>
      <c r="B16" s="50"/>
      <c r="C16" s="50"/>
      <c r="D16" s="50"/>
      <c r="E16" s="51">
        <v>1088.47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1088.47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>
        <f>E11*0.4</f>
        <v>399.2</v>
      </c>
      <c r="E21" s="54" t="s">
        <v>131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1487.67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123.92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41.35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165.27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62.03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227.3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297.53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37.19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22.31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14.87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8.92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2.97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119.01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55.78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558.58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2.7</v>
      </c>
      <c r="D47" s="65">
        <f>ROUNDDOWN(C47*21.73*2,2)</f>
        <v>117.34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1088.47</v>
      </c>
      <c r="D48" s="66">
        <f>ROUNDDOWN(-C48*0.06,2)</f>
        <v>-65.3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452.12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227.3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558.58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452.12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1238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6.87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0.53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3.57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27.47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10.3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63.91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112.65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135.22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20.08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0.74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3.86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10.11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170.01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25.88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f>ROUNDDOWN(C79*C44,4)</f>
        <v>0.0429</v>
      </c>
      <c r="D81" s="90">
        <f>ROUNDDOWN(C81*D25,2)</f>
        <v>63.82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12.79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272.5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272.5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272.5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(D92+D69+D60+D25)*1.45%</f>
        <v>45.10689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>
        <f>(D92+D69+D60+D25)*12%*(1-9.25%)</f>
        <v>338.768298</v>
      </c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383.875188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104.84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183.57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0.1225</v>
      </c>
      <c r="D103" s="66">
        <f>ROUNDDOWN(C103*$D$109,2)</f>
        <v>528.12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398.79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0.03</v>
      </c>
      <c r="D106" s="66">
        <f>ROUNDDOWN(C106*$D$109,2)</f>
        <v>129.33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816.53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0.8775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4311.225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1487.67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1238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112.65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272.5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383.875188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3494.69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816.53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4311.22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19"/>
  <sheetViews>
    <sheetView showGridLines="0" zoomScale="115" zoomScaleNormal="115" topLeftCell="A104" workbookViewId="0">
      <selection activeCell="E119" sqref="A1:E119"/>
    </sheetView>
  </sheetViews>
  <sheetFormatPr defaultColWidth="9" defaultRowHeight="15.75"/>
  <cols>
    <col min="1" max="1" width="23.4285714285714" style="38" customWidth="1"/>
    <col min="2" max="2" width="59.4285714285714" style="38" customWidth="1"/>
    <col min="3" max="3" width="15.4285714285714" style="38" customWidth="1"/>
    <col min="4" max="4" width="13" style="38" customWidth="1"/>
    <col min="5" max="5" width="18.1428571428571" style="38" customWidth="1"/>
    <col min="6" max="6" width="9.14285714285714" style="37"/>
    <col min="7" max="7" width="13" style="37" customWidth="1"/>
    <col min="8" max="10" width="10.7142857142857" style="37" customWidth="1"/>
    <col min="11" max="1025" width="9.14285714285714" style="37" customWidth="1"/>
  </cols>
  <sheetData>
    <row r="1" s="36" customFormat="1" customHeight="1" spans="1:5">
      <c r="A1" s="39" t="s">
        <v>1</v>
      </c>
      <c r="B1" s="39"/>
      <c r="C1" s="39"/>
      <c r="D1" s="39"/>
      <c r="E1" s="39"/>
    </row>
    <row r="2" customHeight="1" spans="1:5">
      <c r="A2" s="40" t="s">
        <v>2</v>
      </c>
      <c r="B2" s="40"/>
      <c r="C2" s="40"/>
      <c r="D2" s="40"/>
      <c r="E2" s="40"/>
    </row>
    <row r="3" customHeight="1" spans="1:5">
      <c r="A3" s="40" t="s">
        <v>3</v>
      </c>
      <c r="B3" s="40"/>
      <c r="C3" s="40"/>
      <c r="D3" s="40"/>
      <c r="E3" s="40"/>
    </row>
    <row r="4" customHeight="1" spans="1:5">
      <c r="A4" s="40" t="s">
        <v>4</v>
      </c>
      <c r="B4" s="40"/>
      <c r="C4" s="40"/>
      <c r="D4" s="40"/>
      <c r="E4" s="40"/>
    </row>
    <row r="5" customHeight="1" spans="1:5">
      <c r="A5" s="39" t="s">
        <v>5</v>
      </c>
      <c r="B5" s="39"/>
      <c r="C5" s="39"/>
      <c r="D5" s="39"/>
      <c r="E5" s="39"/>
    </row>
    <row r="6" customHeight="1" spans="1:5">
      <c r="A6" s="40" t="s">
        <v>6</v>
      </c>
      <c r="B6" s="40" t="s">
        <v>7</v>
      </c>
      <c r="C6" s="40"/>
      <c r="D6" s="40"/>
      <c r="E6" s="41" t="s">
        <v>8</v>
      </c>
    </row>
    <row r="7" customHeight="1" spans="1:5">
      <c r="A7" s="40" t="s">
        <v>9</v>
      </c>
      <c r="B7" s="40" t="s">
        <v>10</v>
      </c>
      <c r="C7" s="40"/>
      <c r="D7" s="40"/>
      <c r="E7" s="40" t="s">
        <v>138</v>
      </c>
    </row>
    <row r="8" customHeight="1" spans="1:5">
      <c r="A8" s="40" t="s">
        <v>12</v>
      </c>
      <c r="B8" s="40" t="s">
        <v>13</v>
      </c>
      <c r="C8" s="40"/>
      <c r="D8" s="40"/>
      <c r="E8" s="40">
        <v>2019</v>
      </c>
    </row>
    <row r="9" customHeight="1" spans="1:5">
      <c r="A9" s="40" t="s">
        <v>14</v>
      </c>
      <c r="B9" s="40" t="s">
        <v>15</v>
      </c>
      <c r="C9" s="40"/>
      <c r="D9" s="40"/>
      <c r="E9" s="99" t="s">
        <v>139</v>
      </c>
    </row>
    <row r="10" customHeight="1" spans="1:5">
      <c r="A10" s="40" t="s">
        <v>17</v>
      </c>
      <c r="B10" s="40" t="s">
        <v>18</v>
      </c>
      <c r="C10" s="40"/>
      <c r="D10" s="40"/>
      <c r="E10" s="40">
        <v>12</v>
      </c>
    </row>
    <row r="11" customHeight="1" spans="1:5">
      <c r="A11" s="43" t="s">
        <v>19</v>
      </c>
      <c r="B11" s="43" t="s">
        <v>20</v>
      </c>
      <c r="C11" s="43"/>
      <c r="D11" s="43"/>
      <c r="E11" s="44">
        <v>998</v>
      </c>
    </row>
    <row r="12" spans="1:5">
      <c r="A12" s="43" t="s">
        <v>21</v>
      </c>
      <c r="B12" s="45" t="s">
        <v>22</v>
      </c>
      <c r="C12" s="46"/>
      <c r="D12" s="47"/>
      <c r="E12" s="48" t="s">
        <v>23</v>
      </c>
    </row>
    <row r="13" customHeight="1" spans="1:5">
      <c r="A13" s="49" t="s">
        <v>24</v>
      </c>
      <c r="B13" s="49"/>
      <c r="C13" s="49"/>
      <c r="D13" s="49"/>
      <c r="E13" s="49"/>
    </row>
    <row r="14" ht="25.5" customHeight="1" spans="1:5">
      <c r="A14" s="50" t="s">
        <v>25</v>
      </c>
      <c r="B14" s="50" t="s">
        <v>26</v>
      </c>
      <c r="C14" s="50"/>
      <c r="D14" s="50"/>
      <c r="E14" s="50" t="s">
        <v>27</v>
      </c>
    </row>
    <row r="15" ht="25.5" spans="1:5">
      <c r="A15" s="43" t="s">
        <v>140</v>
      </c>
      <c r="B15" s="50" t="s">
        <v>29</v>
      </c>
      <c r="C15" s="50"/>
      <c r="D15" s="50"/>
      <c r="E15" s="50" t="s">
        <v>30</v>
      </c>
    </row>
    <row r="16" customHeight="1" spans="1:5">
      <c r="A16" s="50" t="s">
        <v>141</v>
      </c>
      <c r="B16" s="50"/>
      <c r="C16" s="50"/>
      <c r="D16" s="50"/>
      <c r="E16" s="51">
        <v>1679.67</v>
      </c>
    </row>
    <row r="17" s="36" customFormat="1" customHeight="1" spans="1:5">
      <c r="A17" s="39" t="s">
        <v>32</v>
      </c>
      <c r="B17" s="39"/>
      <c r="C17" s="39"/>
      <c r="D17" s="39"/>
      <c r="E17" s="39"/>
    </row>
    <row r="18" ht="25.5" customHeight="1" spans="1:5">
      <c r="A18" s="40">
        <v>1</v>
      </c>
      <c r="B18" s="40" t="s">
        <v>33</v>
      </c>
      <c r="C18" s="40"/>
      <c r="D18" s="40" t="s">
        <v>34</v>
      </c>
      <c r="E18" s="40" t="s">
        <v>35</v>
      </c>
    </row>
    <row r="19" customHeight="1" spans="1:5">
      <c r="A19" s="40" t="s">
        <v>6</v>
      </c>
      <c r="B19" s="40" t="s">
        <v>36</v>
      </c>
      <c r="C19" s="40"/>
      <c r="D19" s="52">
        <f>E16</f>
        <v>1679.67</v>
      </c>
      <c r="E19" s="40" t="s">
        <v>37</v>
      </c>
    </row>
    <row r="20" customHeight="1" spans="1:5">
      <c r="A20" s="40" t="s">
        <v>9</v>
      </c>
      <c r="B20" s="40" t="s">
        <v>38</v>
      </c>
      <c r="C20" s="40"/>
      <c r="D20" s="53"/>
      <c r="E20" s="54" t="s">
        <v>39</v>
      </c>
    </row>
    <row r="21" customHeight="1" spans="1:5">
      <c r="A21" s="40" t="s">
        <v>12</v>
      </c>
      <c r="B21" s="40" t="s">
        <v>40</v>
      </c>
      <c r="C21" s="40"/>
      <c r="D21" s="53"/>
      <c r="E21" s="54" t="s">
        <v>39</v>
      </c>
    </row>
    <row r="22" customHeight="1" spans="1:5">
      <c r="A22" s="40" t="s">
        <v>14</v>
      </c>
      <c r="B22" s="40" t="s">
        <v>41</v>
      </c>
      <c r="C22" s="40"/>
      <c r="D22" s="53"/>
      <c r="E22" s="54" t="s">
        <v>39</v>
      </c>
    </row>
    <row r="23" customHeight="1" spans="1:6">
      <c r="A23" s="40" t="s">
        <v>17</v>
      </c>
      <c r="B23" s="40" t="s">
        <v>42</v>
      </c>
      <c r="C23" s="40"/>
      <c r="D23" s="53"/>
      <c r="E23" s="54" t="s">
        <v>39</v>
      </c>
      <c r="F23" s="55"/>
    </row>
    <row r="24" spans="1:7">
      <c r="A24" s="40" t="s">
        <v>21</v>
      </c>
      <c r="B24" s="40" t="s">
        <v>43</v>
      </c>
      <c r="C24" s="40"/>
      <c r="D24" s="53"/>
      <c r="E24" s="54" t="s">
        <v>39</v>
      </c>
      <c r="F24" s="55"/>
      <c r="G24" s="55"/>
    </row>
    <row r="25" s="36" customFormat="1" customHeight="1" spans="1:5">
      <c r="A25" s="39" t="s">
        <v>44</v>
      </c>
      <c r="B25" s="39"/>
      <c r="C25" s="39"/>
      <c r="D25" s="56">
        <f>SUM(D19:D24)</f>
        <v>1679.67</v>
      </c>
      <c r="E25" s="54" t="s">
        <v>39</v>
      </c>
    </row>
    <row r="26" customHeight="1" spans="1:5">
      <c r="A26" s="57" t="s">
        <v>45</v>
      </c>
      <c r="B26" s="57"/>
      <c r="C26" s="57"/>
      <c r="D26" s="57"/>
      <c r="E26" s="57"/>
    </row>
    <row r="27" s="36" customFormat="1" customHeight="1" spans="1:5">
      <c r="A27" s="57" t="s">
        <v>46</v>
      </c>
      <c r="B27" s="57"/>
      <c r="C27" s="57"/>
      <c r="D27" s="57"/>
      <c r="E27" s="57"/>
    </row>
    <row r="28" ht="25.5" spans="1:5">
      <c r="A28" s="54" t="s">
        <v>47</v>
      </c>
      <c r="B28" s="54" t="s">
        <v>48</v>
      </c>
      <c r="C28" s="54" t="s">
        <v>49</v>
      </c>
      <c r="D28" s="54" t="s">
        <v>34</v>
      </c>
      <c r="E28" s="40" t="s">
        <v>35</v>
      </c>
    </row>
    <row r="29" spans="1:5">
      <c r="A29" s="54" t="s">
        <v>6</v>
      </c>
      <c r="B29" s="54" t="s">
        <v>50</v>
      </c>
      <c r="C29" s="58">
        <v>0.0833</v>
      </c>
      <c r="D29" s="54">
        <f>ROUNDDOWN(C29*$D$25,2)</f>
        <v>139.91</v>
      </c>
      <c r="E29" s="54" t="s">
        <v>39</v>
      </c>
    </row>
    <row r="30" spans="1:5">
      <c r="A30" s="54" t="s">
        <v>9</v>
      </c>
      <c r="B30" s="54" t="s">
        <v>51</v>
      </c>
      <c r="C30" s="59">
        <v>0.0278</v>
      </c>
      <c r="D30" s="54">
        <f>ROUNDDOWN(C30*$D$25,2)</f>
        <v>46.69</v>
      </c>
      <c r="E30" s="54" t="s">
        <v>39</v>
      </c>
    </row>
    <row r="31" customHeight="1" spans="1:5">
      <c r="A31" s="54" t="s">
        <v>52</v>
      </c>
      <c r="B31" s="54"/>
      <c r="C31" s="59">
        <f>SUM(C29:C30)</f>
        <v>0.1111</v>
      </c>
      <c r="D31" s="54">
        <f>SUM(D29:D30)</f>
        <v>186.6</v>
      </c>
      <c r="E31" s="54" t="s">
        <v>39</v>
      </c>
    </row>
    <row r="32" ht="25.5" spans="1:5">
      <c r="A32" s="54" t="s">
        <v>12</v>
      </c>
      <c r="B32" s="54" t="s">
        <v>53</v>
      </c>
      <c r="C32" s="58">
        <f>ROUNDDOWN(C31*C44,4)</f>
        <v>0.0417</v>
      </c>
      <c r="D32" s="54">
        <f>ROUNDDOWN(C32*$D$25,2)</f>
        <v>70.04</v>
      </c>
      <c r="E32" s="54" t="s">
        <v>39</v>
      </c>
    </row>
    <row r="33" s="36" customFormat="1" customHeight="1" spans="1:5">
      <c r="A33" s="57" t="s">
        <v>44</v>
      </c>
      <c r="B33" s="57"/>
      <c r="C33" s="60">
        <f>C32+C31</f>
        <v>0.1528</v>
      </c>
      <c r="D33" s="57">
        <f>D32+D31</f>
        <v>256.64</v>
      </c>
      <c r="E33" s="54" t="s">
        <v>39</v>
      </c>
    </row>
    <row r="34" customHeight="1" spans="1:5">
      <c r="A34" s="57" t="s">
        <v>54</v>
      </c>
      <c r="B34" s="57"/>
      <c r="C34" s="57"/>
      <c r="D34" s="57"/>
      <c r="E34" s="57"/>
    </row>
    <row r="35" ht="25.5" spans="1:5">
      <c r="A35" s="54" t="s">
        <v>55</v>
      </c>
      <c r="B35" s="54" t="s">
        <v>56</v>
      </c>
      <c r="C35" s="54" t="s">
        <v>49</v>
      </c>
      <c r="D35" s="54" t="s">
        <v>34</v>
      </c>
      <c r="E35" s="40" t="s">
        <v>35</v>
      </c>
    </row>
    <row r="36" spans="1:5">
      <c r="A36" s="54" t="s">
        <v>6</v>
      </c>
      <c r="B36" s="54" t="s">
        <v>57</v>
      </c>
      <c r="C36" s="61">
        <v>0.2</v>
      </c>
      <c r="D36" s="54">
        <f t="shared" ref="D36:D43" si="0">ROUNDDOWN(C36*$D$25,2)</f>
        <v>335.93</v>
      </c>
      <c r="E36" s="54" t="s">
        <v>39</v>
      </c>
    </row>
    <row r="37" spans="1:5">
      <c r="A37" s="54" t="s">
        <v>9</v>
      </c>
      <c r="B37" s="54" t="s">
        <v>58</v>
      </c>
      <c r="C37" s="61">
        <v>0.025</v>
      </c>
      <c r="D37" s="54">
        <f t="shared" si="0"/>
        <v>41.99</v>
      </c>
      <c r="E37" s="54" t="s">
        <v>39</v>
      </c>
    </row>
    <row r="38" spans="1:5">
      <c r="A38" s="54" t="s">
        <v>12</v>
      </c>
      <c r="B38" s="54" t="s">
        <v>59</v>
      </c>
      <c r="C38" s="61">
        <v>0.015</v>
      </c>
      <c r="D38" s="54">
        <f t="shared" si="0"/>
        <v>25.19</v>
      </c>
      <c r="E38" s="54" t="s">
        <v>39</v>
      </c>
    </row>
    <row r="39" spans="1:5">
      <c r="A39" s="54" t="s">
        <v>14</v>
      </c>
      <c r="B39" s="54" t="s">
        <v>60</v>
      </c>
      <c r="C39" s="61">
        <v>0.01</v>
      </c>
      <c r="D39" s="54">
        <f t="shared" si="0"/>
        <v>16.79</v>
      </c>
      <c r="E39" s="54" t="s">
        <v>39</v>
      </c>
    </row>
    <row r="40" spans="1:5">
      <c r="A40" s="54" t="s">
        <v>17</v>
      </c>
      <c r="B40" s="54" t="s">
        <v>61</v>
      </c>
      <c r="C40" s="61">
        <v>0.006</v>
      </c>
      <c r="D40" s="54">
        <f t="shared" si="0"/>
        <v>10.07</v>
      </c>
      <c r="E40" s="54" t="s">
        <v>39</v>
      </c>
    </row>
    <row r="41" spans="1:5">
      <c r="A41" s="54" t="s">
        <v>19</v>
      </c>
      <c r="B41" s="54" t="s">
        <v>62</v>
      </c>
      <c r="C41" s="61">
        <v>0.002</v>
      </c>
      <c r="D41" s="54">
        <f t="shared" si="0"/>
        <v>3.35</v>
      </c>
      <c r="E41" s="54" t="s">
        <v>39</v>
      </c>
    </row>
    <row r="42" spans="1:5">
      <c r="A42" s="54" t="s">
        <v>21</v>
      </c>
      <c r="B42" s="54" t="s">
        <v>63</v>
      </c>
      <c r="C42" s="61">
        <v>0.08</v>
      </c>
      <c r="D42" s="54">
        <f t="shared" si="0"/>
        <v>134.37</v>
      </c>
      <c r="E42" s="54" t="s">
        <v>39</v>
      </c>
    </row>
    <row r="43" s="17" customFormat="1" spans="1:1025">
      <c r="A43" s="43" t="s">
        <v>64</v>
      </c>
      <c r="B43" s="43" t="s">
        <v>65</v>
      </c>
      <c r="C43" s="62">
        <v>0.0375</v>
      </c>
      <c r="D43" s="43">
        <f t="shared" si="0"/>
        <v>62.98</v>
      </c>
      <c r="E43" s="43" t="s">
        <v>39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  <c r="AMJ43" s="63"/>
      <c r="AMK43" s="63"/>
    </row>
    <row r="44" s="36" customFormat="1" customHeight="1" spans="1:5">
      <c r="A44" s="57" t="s">
        <v>66</v>
      </c>
      <c r="B44" s="57"/>
      <c r="C44" s="64">
        <f>SUM(C36:C43)</f>
        <v>0.3755</v>
      </c>
      <c r="D44" s="57">
        <f>SUM(D36:D43)</f>
        <v>630.67</v>
      </c>
      <c r="E44" s="54" t="s">
        <v>39</v>
      </c>
    </row>
    <row r="45" customHeight="1" spans="1:5">
      <c r="A45" s="57" t="s">
        <v>67</v>
      </c>
      <c r="B45" s="57"/>
      <c r="C45" s="57"/>
      <c r="D45" s="57"/>
      <c r="E45" s="57"/>
    </row>
    <row r="46" ht="25.5" spans="1:5">
      <c r="A46" s="54" t="s">
        <v>68</v>
      </c>
      <c r="B46" s="54" t="s">
        <v>69</v>
      </c>
      <c r="C46" s="54" t="s">
        <v>70</v>
      </c>
      <c r="D46" s="54" t="s">
        <v>34</v>
      </c>
      <c r="E46" s="40" t="s">
        <v>35</v>
      </c>
    </row>
    <row r="47" s="17" customFormat="1" spans="1:1025">
      <c r="A47" s="43" t="s">
        <v>6</v>
      </c>
      <c r="B47" s="43" t="s">
        <v>71</v>
      </c>
      <c r="C47" s="65">
        <v>3.45</v>
      </c>
      <c r="D47" s="65">
        <f>ROUNDDOWN(C47*21.73*2,2)</f>
        <v>149.93</v>
      </c>
      <c r="E47" s="43" t="s">
        <v>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</row>
    <row r="48" spans="1:5">
      <c r="A48" s="54" t="s">
        <v>9</v>
      </c>
      <c r="B48" s="54" t="s">
        <v>73</v>
      </c>
      <c r="C48" s="66">
        <f>D19</f>
        <v>1679.67</v>
      </c>
      <c r="D48" s="66">
        <f>ROUNDDOWN(-C48*0.06,2)</f>
        <v>-100.78</v>
      </c>
      <c r="E48" s="54" t="s">
        <v>37</v>
      </c>
    </row>
    <row r="49" s="17" customFormat="1" spans="1:1025">
      <c r="A49" s="43" t="s">
        <v>12</v>
      </c>
      <c r="B49" s="43" t="s">
        <v>74</v>
      </c>
      <c r="C49" s="65">
        <v>20.8</v>
      </c>
      <c r="D49" s="65">
        <f>ROUNDDOWN(C49*21.73,2)</f>
        <v>451.98</v>
      </c>
      <c r="E49" s="43" t="s">
        <v>37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</row>
    <row r="50" spans="1:5">
      <c r="A50" s="54" t="s">
        <v>14</v>
      </c>
      <c r="B50" s="54" t="s">
        <v>75</v>
      </c>
      <c r="C50" s="66">
        <f>D49</f>
        <v>451.98</v>
      </c>
      <c r="D50" s="66">
        <f>ROUNDDOWN(-C50*0.2,2)</f>
        <v>-90.39</v>
      </c>
      <c r="E50" s="54" t="s">
        <v>37</v>
      </c>
    </row>
    <row r="51" spans="1:5">
      <c r="A51" s="54" t="s">
        <v>17</v>
      </c>
      <c r="B51" s="54" t="s">
        <v>76</v>
      </c>
      <c r="C51" s="66">
        <v>34.09</v>
      </c>
      <c r="D51" s="66">
        <f>C51</f>
        <v>34.09</v>
      </c>
      <c r="E51" s="54" t="s">
        <v>37</v>
      </c>
    </row>
    <row r="52" s="37" customFormat="1" spans="1:5">
      <c r="A52" s="54" t="s">
        <v>19</v>
      </c>
      <c r="B52" s="54" t="s">
        <v>77</v>
      </c>
      <c r="C52" s="67">
        <v>13240.15</v>
      </c>
      <c r="D52" s="66">
        <f>ROUNDDOWN(C52*0.0333%,2)</f>
        <v>4.4</v>
      </c>
      <c r="E52" s="54" t="s">
        <v>37</v>
      </c>
    </row>
    <row r="53" spans="1:5">
      <c r="A53" s="54" t="s">
        <v>21</v>
      </c>
      <c r="B53" s="54" t="s">
        <v>78</v>
      </c>
      <c r="C53" s="66"/>
      <c r="D53" s="66"/>
      <c r="E53" s="54" t="s">
        <v>39</v>
      </c>
    </row>
    <row r="54" s="36" customFormat="1" customHeight="1" spans="1:5">
      <c r="A54" s="57" t="s">
        <v>44</v>
      </c>
      <c r="B54" s="57"/>
      <c r="C54" s="57"/>
      <c r="D54" s="68">
        <f>SUM(D47:D53)</f>
        <v>449.23</v>
      </c>
      <c r="E54" s="54" t="s">
        <v>39</v>
      </c>
    </row>
    <row r="55" customHeight="1" spans="1:5">
      <c r="A55" s="57" t="s">
        <v>79</v>
      </c>
      <c r="B55" s="57"/>
      <c r="C55" s="57"/>
      <c r="D55" s="57"/>
      <c r="E55" s="57"/>
    </row>
    <row r="56" ht="25.5" customHeight="1" spans="1:6">
      <c r="A56" s="54">
        <v>2</v>
      </c>
      <c r="B56" s="54" t="s">
        <v>80</v>
      </c>
      <c r="C56" s="54"/>
      <c r="D56" s="54" t="s">
        <v>34</v>
      </c>
      <c r="E56" s="40" t="s">
        <v>35</v>
      </c>
      <c r="F56" s="69"/>
    </row>
    <row r="57" customHeight="1" spans="1:5">
      <c r="A57" s="54" t="s">
        <v>47</v>
      </c>
      <c r="B57" s="54" t="s">
        <v>48</v>
      </c>
      <c r="C57" s="54"/>
      <c r="D57" s="54">
        <f>D33</f>
        <v>256.64</v>
      </c>
      <c r="E57" s="54" t="s">
        <v>39</v>
      </c>
    </row>
    <row r="58" customHeight="1" spans="1:5">
      <c r="A58" s="54" t="s">
        <v>55</v>
      </c>
      <c r="B58" s="54" t="s">
        <v>56</v>
      </c>
      <c r="C58" s="54"/>
      <c r="D58" s="54">
        <f>D44</f>
        <v>630.67</v>
      </c>
      <c r="E58" s="54" t="s">
        <v>39</v>
      </c>
    </row>
    <row r="59" customHeight="1" spans="1:5">
      <c r="A59" s="54" t="s">
        <v>68</v>
      </c>
      <c r="B59" s="54" t="s">
        <v>69</v>
      </c>
      <c r="C59" s="54"/>
      <c r="D59" s="66">
        <f>D54</f>
        <v>449.23</v>
      </c>
      <c r="E59" s="54" t="s">
        <v>39</v>
      </c>
    </row>
    <row r="60" s="36" customFormat="1" customHeight="1" spans="1:5">
      <c r="A60" s="57" t="s">
        <v>44</v>
      </c>
      <c r="B60" s="57"/>
      <c r="C60" s="57"/>
      <c r="D60" s="68">
        <f>SUM(D57:D59)</f>
        <v>1336.54</v>
      </c>
      <c r="E60" s="57" t="s">
        <v>39</v>
      </c>
    </row>
    <row r="61" customHeight="1" spans="1:5">
      <c r="A61" s="57" t="s">
        <v>81</v>
      </c>
      <c r="B61" s="57"/>
      <c r="C61" s="57"/>
      <c r="D61" s="57"/>
      <c r="E61" s="57"/>
    </row>
    <row r="62" ht="25.5" spans="1:8">
      <c r="A62" s="54">
        <v>3</v>
      </c>
      <c r="B62" s="54" t="s">
        <v>82</v>
      </c>
      <c r="C62" s="54" t="s">
        <v>49</v>
      </c>
      <c r="D62" s="54" t="s">
        <v>34</v>
      </c>
      <c r="E62" s="40" t="s">
        <v>35</v>
      </c>
      <c r="F62" s="70"/>
      <c r="G62" s="70"/>
      <c r="H62" s="55"/>
    </row>
    <row r="63" ht="25.5" spans="1:10">
      <c r="A63" s="54" t="s">
        <v>6</v>
      </c>
      <c r="B63" s="54" t="s">
        <v>83</v>
      </c>
      <c r="C63" s="71">
        <f>ROUNDDOWN(5%*(1+1/12+1/12/3)/12,5)</f>
        <v>0.00462</v>
      </c>
      <c r="D63" s="72">
        <f t="shared" ref="D63:D68" si="1">ROUNDDOWN(C63*$D$25,2)</f>
        <v>7.76</v>
      </c>
      <c r="E63" s="54" t="s">
        <v>39</v>
      </c>
      <c r="G63" s="55"/>
      <c r="I63" s="55"/>
      <c r="J63" s="55"/>
    </row>
    <row r="64" s="37" customFormat="1" ht="25.5" spans="1:11">
      <c r="A64" s="54" t="s">
        <v>9</v>
      </c>
      <c r="B64" s="54" t="s">
        <v>84</v>
      </c>
      <c r="C64" s="73">
        <f>ROUNDDOWN(C63*C42,5)</f>
        <v>0.00036</v>
      </c>
      <c r="D64" s="72">
        <f t="shared" si="1"/>
        <v>0.6</v>
      </c>
      <c r="E64" s="54" t="s">
        <v>39</v>
      </c>
      <c r="G64" s="55"/>
      <c r="H64" s="55"/>
      <c r="I64" s="55"/>
      <c r="J64" s="55"/>
      <c r="K64" s="55"/>
    </row>
    <row r="65" spans="1:11">
      <c r="A65" s="54" t="s">
        <v>12</v>
      </c>
      <c r="B65" s="54" t="s">
        <v>85</v>
      </c>
      <c r="C65" s="73">
        <f>ROUNDDOWN(5%*((1+1/12+1/12/3+(1+1/12+1/12/3)/12))*50%*8%,5)</f>
        <v>0.0024</v>
      </c>
      <c r="D65" s="72">
        <f t="shared" si="1"/>
        <v>4.03</v>
      </c>
      <c r="E65" s="54" t="s">
        <v>39</v>
      </c>
      <c r="G65" s="55"/>
      <c r="H65" s="55"/>
      <c r="I65" s="55"/>
      <c r="K65" s="55"/>
    </row>
    <row r="66" spans="1:9">
      <c r="A66" s="54" t="s">
        <v>14</v>
      </c>
      <c r="B66" s="54" t="s">
        <v>86</v>
      </c>
      <c r="C66" s="71">
        <f>ROUNDDOWN(95%*(1)/30/12*7,5)</f>
        <v>0.01847</v>
      </c>
      <c r="D66" s="72">
        <f t="shared" si="1"/>
        <v>31.02</v>
      </c>
      <c r="E66" s="54" t="s">
        <v>39</v>
      </c>
      <c r="G66" s="55"/>
      <c r="H66" s="55"/>
      <c r="I66" s="55"/>
    </row>
    <row r="67" ht="25.5" spans="1:10">
      <c r="A67" s="54" t="s">
        <v>17</v>
      </c>
      <c r="B67" s="54" t="s">
        <v>87</v>
      </c>
      <c r="C67" s="71">
        <f>ROUNDDOWN(C66*C44,5)</f>
        <v>0.00693</v>
      </c>
      <c r="D67" s="72">
        <f t="shared" si="1"/>
        <v>11.64</v>
      </c>
      <c r="E67" s="54" t="s">
        <v>39</v>
      </c>
      <c r="G67" s="55"/>
      <c r="H67" s="74"/>
      <c r="I67" s="55"/>
      <c r="J67" s="55"/>
    </row>
    <row r="68" spans="1:10">
      <c r="A68" s="54" t="s">
        <v>19</v>
      </c>
      <c r="B68" s="54" t="s">
        <v>88</v>
      </c>
      <c r="C68" s="71">
        <f>ROUNDDOWN(95%*(((1+1/12+1/12/3)+((1)/30/12*7))*50%*8%),5)</f>
        <v>0.04296</v>
      </c>
      <c r="D68" s="72">
        <f t="shared" si="1"/>
        <v>72.15</v>
      </c>
      <c r="E68" s="54" t="s">
        <v>39</v>
      </c>
      <c r="F68" s="75"/>
      <c r="G68" s="76"/>
      <c r="I68" s="87"/>
      <c r="J68" s="55"/>
    </row>
    <row r="69" s="36" customFormat="1" customHeight="1" spans="1:9">
      <c r="A69" s="57" t="s">
        <v>44</v>
      </c>
      <c r="B69" s="57"/>
      <c r="C69" s="64">
        <f>SUM(C63:C68)</f>
        <v>0.07574</v>
      </c>
      <c r="D69" s="77">
        <f>SUM(D63:D68)</f>
        <v>127.2</v>
      </c>
      <c r="E69" s="57" t="s">
        <v>39</v>
      </c>
      <c r="F69" s="78"/>
      <c r="G69" s="79"/>
      <c r="H69" s="80"/>
      <c r="I69" s="96"/>
    </row>
    <row r="70" customHeight="1" spans="1:9">
      <c r="A70" s="57" t="s">
        <v>89</v>
      </c>
      <c r="B70" s="57"/>
      <c r="C70" s="57"/>
      <c r="D70" s="57"/>
      <c r="E70" s="57"/>
      <c r="F70" s="76"/>
      <c r="G70" s="55"/>
      <c r="I70" s="55"/>
    </row>
    <row r="71" customHeight="1" spans="1:7">
      <c r="A71" s="57" t="s">
        <v>90</v>
      </c>
      <c r="B71" s="57"/>
      <c r="C71" s="57"/>
      <c r="D71" s="57"/>
      <c r="E71" s="57"/>
      <c r="F71" s="55"/>
      <c r="G71" s="81"/>
    </row>
    <row r="72" ht="25.5" spans="1:7">
      <c r="A72" s="54" t="s">
        <v>91</v>
      </c>
      <c r="B72" s="54" t="s">
        <v>92</v>
      </c>
      <c r="C72" s="54" t="s">
        <v>49</v>
      </c>
      <c r="D72" s="54" t="s">
        <v>34</v>
      </c>
      <c r="E72" s="40" t="s">
        <v>35</v>
      </c>
      <c r="G72" s="82"/>
    </row>
    <row r="73" spans="1:7">
      <c r="A73" s="54" t="s">
        <v>6</v>
      </c>
      <c r="B73" s="54" t="s">
        <v>93</v>
      </c>
      <c r="C73" s="73">
        <f>ROUNDDOWN(1/11,4)</f>
        <v>0.0909</v>
      </c>
      <c r="D73" s="72">
        <f>ROUNDDOWN(C73*$D$25,2)</f>
        <v>152.68</v>
      </c>
      <c r="E73" s="54" t="s">
        <v>39</v>
      </c>
      <c r="G73" s="83"/>
    </row>
    <row r="74" spans="1:9">
      <c r="A74" s="54" t="s">
        <v>9</v>
      </c>
      <c r="B74" s="54" t="s">
        <v>92</v>
      </c>
      <c r="C74" s="73">
        <f>ROUNDDOWN(1/12/30*4.87,4)</f>
        <v>0.0135</v>
      </c>
      <c r="D74" s="54">
        <f>ROUNDDOWN(C74*$D$25,2)</f>
        <v>22.67</v>
      </c>
      <c r="E74" s="54" t="s">
        <v>39</v>
      </c>
      <c r="G74" s="84"/>
      <c r="I74" s="76"/>
    </row>
    <row r="75" spans="1:7">
      <c r="A75" s="54" t="s">
        <v>12</v>
      </c>
      <c r="B75" s="54" t="s">
        <v>94</v>
      </c>
      <c r="C75" s="73">
        <f>ROUNDDOWN(1/12/30*0.1898,4)</f>
        <v>0.0005</v>
      </c>
      <c r="D75" s="54">
        <f>ROUNDDOWN(C75*$D$25,2)</f>
        <v>0.83</v>
      </c>
      <c r="E75" s="54" t="s">
        <v>39</v>
      </c>
      <c r="G75" s="83"/>
    </row>
    <row r="76" spans="1:7">
      <c r="A76" s="54" t="s">
        <v>14</v>
      </c>
      <c r="B76" s="54" t="s">
        <v>95</v>
      </c>
      <c r="C76" s="73">
        <f>ROUNDDOWN(1/12/30*0.9545,4)</f>
        <v>0.0026</v>
      </c>
      <c r="D76" s="54">
        <f>ROUNDDOWN(C76*$D$25,2)</f>
        <v>4.36</v>
      </c>
      <c r="E76" s="85" t="s">
        <v>39</v>
      </c>
      <c r="G76" s="83"/>
    </row>
    <row r="77" spans="1:8">
      <c r="A77" s="54" t="s">
        <v>17</v>
      </c>
      <c r="B77" s="54" t="s">
        <v>96</v>
      </c>
      <c r="C77" s="73">
        <f>ROUNDDOWN(1/12/30*2.47,4)</f>
        <v>0.0068</v>
      </c>
      <c r="D77" s="54">
        <f>ROUNDDOWN(C77*$D$25,2)</f>
        <v>11.42</v>
      </c>
      <c r="E77" s="86" t="s">
        <v>39</v>
      </c>
      <c r="G77" s="83"/>
      <c r="H77" s="87"/>
    </row>
    <row r="78" spans="1:8">
      <c r="A78" s="54" t="s">
        <v>19</v>
      </c>
      <c r="B78" s="54" t="s">
        <v>97</v>
      </c>
      <c r="C78" s="73"/>
      <c r="D78" s="54"/>
      <c r="E78" s="54" t="s">
        <v>39</v>
      </c>
      <c r="H78" s="88"/>
    </row>
    <row r="79" customHeight="1" spans="1:8">
      <c r="A79" s="57" t="s">
        <v>98</v>
      </c>
      <c r="B79" s="57"/>
      <c r="C79" s="71">
        <f>SUM(C73:C78)</f>
        <v>0.1143</v>
      </c>
      <c r="D79" s="72">
        <f>SUM(D73:D78)</f>
        <v>191.96</v>
      </c>
      <c r="E79" s="54" t="s">
        <v>39</v>
      </c>
      <c r="F79" s="55"/>
      <c r="G79" s="89"/>
      <c r="H79" s="87"/>
    </row>
    <row r="80" ht="25.5" spans="1:7">
      <c r="A80" s="54" t="s">
        <v>21</v>
      </c>
      <c r="B80" s="54" t="s">
        <v>99</v>
      </c>
      <c r="C80" s="73">
        <f>ROUNDDOWN(C79*C33,4)</f>
        <v>0.0174</v>
      </c>
      <c r="D80" s="90">
        <f>ROUNDDOWN(C80*D25,2)</f>
        <v>29.22</v>
      </c>
      <c r="E80" s="54" t="s">
        <v>39</v>
      </c>
      <c r="F80" s="55"/>
      <c r="G80" s="91"/>
    </row>
    <row r="81" ht="25.5" spans="1:7">
      <c r="A81" s="54" t="s">
        <v>64</v>
      </c>
      <c r="B81" s="54" t="s">
        <v>100</v>
      </c>
      <c r="C81" s="73">
        <v>0.0429</v>
      </c>
      <c r="D81" s="90">
        <f>ROUNDDOWN(C81*D25,2)</f>
        <v>72.05</v>
      </c>
      <c r="E81" s="54" t="s">
        <v>39</v>
      </c>
      <c r="G81" s="91"/>
    </row>
    <row r="82" ht="25.5" spans="1:6">
      <c r="A82" s="54" t="s">
        <v>101</v>
      </c>
      <c r="B82" s="54" t="s">
        <v>102</v>
      </c>
      <c r="C82" s="73">
        <f>ROUNDDOWN(C69*C79,4)</f>
        <v>0.0086</v>
      </c>
      <c r="D82" s="90">
        <f>ROUNDDOWN(C82*D25,2)</f>
        <v>14.44</v>
      </c>
      <c r="E82" s="54" t="s">
        <v>39</v>
      </c>
      <c r="F82" s="83"/>
    </row>
    <row r="83" s="36" customFormat="1" customHeight="1" spans="1:5">
      <c r="A83" s="57" t="s">
        <v>66</v>
      </c>
      <c r="B83" s="57"/>
      <c r="C83" s="64">
        <f>C82+C81+C80+C79</f>
        <v>0.1832</v>
      </c>
      <c r="D83" s="77">
        <f>SUM(D79:D82)</f>
        <v>307.67</v>
      </c>
      <c r="E83" s="57" t="s">
        <v>39</v>
      </c>
    </row>
    <row r="84" customHeight="1" spans="1:5">
      <c r="A84" s="57" t="s">
        <v>103</v>
      </c>
      <c r="B84" s="57"/>
      <c r="C84" s="57"/>
      <c r="D84" s="57"/>
      <c r="E84" s="57"/>
    </row>
    <row r="85" ht="25.5" customHeight="1" spans="1:5">
      <c r="A85" s="54" t="s">
        <v>104</v>
      </c>
      <c r="B85" s="54" t="s">
        <v>105</v>
      </c>
      <c r="C85" s="54"/>
      <c r="D85" s="54" t="s">
        <v>34</v>
      </c>
      <c r="E85" s="40" t="s">
        <v>35</v>
      </c>
    </row>
    <row r="86" customHeight="1" spans="1:5">
      <c r="A86" s="54" t="s">
        <v>6</v>
      </c>
      <c r="B86" s="54" t="s">
        <v>106</v>
      </c>
      <c r="C86" s="54"/>
      <c r="D86" s="92"/>
      <c r="E86" s="54" t="s">
        <v>39</v>
      </c>
    </row>
    <row r="87" s="36" customFormat="1" customHeight="1" spans="1:5">
      <c r="A87" s="57" t="s">
        <v>44</v>
      </c>
      <c r="B87" s="57"/>
      <c r="C87" s="57"/>
      <c r="D87" s="77"/>
      <c r="E87" s="57" t="s">
        <v>39</v>
      </c>
    </row>
    <row r="88" customHeight="1" spans="1:5">
      <c r="A88" s="57" t="s">
        <v>107</v>
      </c>
      <c r="B88" s="57"/>
      <c r="C88" s="57"/>
      <c r="D88" s="57"/>
      <c r="E88" s="57"/>
    </row>
    <row r="89" ht="25.5" customHeight="1" spans="1:5">
      <c r="A89" s="54">
        <v>4</v>
      </c>
      <c r="B89" s="54" t="s">
        <v>108</v>
      </c>
      <c r="C89" s="54"/>
      <c r="D89" s="54" t="s">
        <v>34</v>
      </c>
      <c r="E89" s="40" t="s">
        <v>35</v>
      </c>
    </row>
    <row r="90" customHeight="1" spans="1:5">
      <c r="A90" s="54" t="s">
        <v>91</v>
      </c>
      <c r="B90" s="54" t="s">
        <v>92</v>
      </c>
      <c r="C90" s="54"/>
      <c r="D90" s="72">
        <f>D83</f>
        <v>307.67</v>
      </c>
      <c r="E90" s="54" t="s">
        <v>39</v>
      </c>
    </row>
    <row r="91" customHeight="1" spans="1:5">
      <c r="A91" s="54" t="s">
        <v>104</v>
      </c>
      <c r="B91" s="54" t="s">
        <v>105</v>
      </c>
      <c r="C91" s="54"/>
      <c r="D91" s="72"/>
      <c r="E91" s="54" t="s">
        <v>39</v>
      </c>
    </row>
    <row r="92" s="36" customFormat="1" customHeight="1" spans="1:5">
      <c r="A92" s="57" t="s">
        <v>44</v>
      </c>
      <c r="B92" s="57"/>
      <c r="C92" s="57"/>
      <c r="D92" s="77">
        <f>SUM(D90:D91)</f>
        <v>307.67</v>
      </c>
      <c r="E92" s="57" t="s">
        <v>39</v>
      </c>
    </row>
    <row r="93" customHeight="1" spans="1:5">
      <c r="A93" s="57" t="s">
        <v>109</v>
      </c>
      <c r="B93" s="57"/>
      <c r="C93" s="57"/>
      <c r="D93" s="57"/>
      <c r="E93" s="57"/>
    </row>
    <row r="94" ht="25.5" customHeight="1" spans="1:5">
      <c r="A94" s="57">
        <v>5</v>
      </c>
      <c r="B94" s="57" t="s">
        <v>110</v>
      </c>
      <c r="C94" s="57"/>
      <c r="D94" s="57" t="s">
        <v>34</v>
      </c>
      <c r="E94" s="39" t="s">
        <v>35</v>
      </c>
    </row>
    <row r="95" customHeight="1" spans="1:5">
      <c r="A95" s="54" t="s">
        <v>6</v>
      </c>
      <c r="B95" s="54" t="s">
        <v>111</v>
      </c>
      <c r="C95" s="54"/>
      <c r="D95" s="66">
        <f>(D92+D69+D60+D25)*1.23%</f>
        <v>42.448284</v>
      </c>
      <c r="E95" s="54" t="s">
        <v>112</v>
      </c>
    </row>
    <row r="96" customHeight="1" spans="1:5">
      <c r="A96" s="54" t="s">
        <v>9</v>
      </c>
      <c r="B96" s="54" t="s">
        <v>113</v>
      </c>
      <c r="C96" s="54"/>
      <c r="D96" s="93"/>
      <c r="E96" s="54" t="s">
        <v>112</v>
      </c>
    </row>
    <row r="97" customHeight="1" spans="1:5">
      <c r="A97" s="54" t="s">
        <v>12</v>
      </c>
      <c r="B97" s="54" t="s">
        <v>78</v>
      </c>
      <c r="C97" s="54"/>
      <c r="D97" s="54"/>
      <c r="E97" s="54"/>
    </row>
    <row r="98" customHeight="1" spans="1:5">
      <c r="A98" s="57" t="s">
        <v>66</v>
      </c>
      <c r="B98" s="57"/>
      <c r="C98" s="57"/>
      <c r="D98" s="94">
        <f>SUM(D95:D97)</f>
        <v>42.448284</v>
      </c>
      <c r="E98" s="54" t="s">
        <v>39</v>
      </c>
    </row>
    <row r="99" customHeight="1" spans="1:5">
      <c r="A99" s="95" t="s">
        <v>114</v>
      </c>
      <c r="B99" s="95"/>
      <c r="C99" s="95"/>
      <c r="D99" s="95"/>
      <c r="E99" s="95"/>
    </row>
    <row r="100" ht="25.5" spans="1:5">
      <c r="A100" s="57">
        <v>6</v>
      </c>
      <c r="B100" s="57" t="s">
        <v>115</v>
      </c>
      <c r="C100" s="57" t="s">
        <v>49</v>
      </c>
      <c r="D100" s="57" t="s">
        <v>34</v>
      </c>
      <c r="E100" s="39" t="s">
        <v>35</v>
      </c>
    </row>
    <row r="101" spans="1:5">
      <c r="A101" s="54" t="s">
        <v>6</v>
      </c>
      <c r="B101" s="54" t="s">
        <v>116</v>
      </c>
      <c r="C101" s="59">
        <v>0.03</v>
      </c>
      <c r="D101" s="66">
        <f>ROUNDDOWN($D$117*C101,2)</f>
        <v>104.8</v>
      </c>
      <c r="E101" s="54" t="s">
        <v>117</v>
      </c>
    </row>
    <row r="102" spans="1:5">
      <c r="A102" s="54" t="s">
        <v>9</v>
      </c>
      <c r="B102" s="54" t="s">
        <v>118</v>
      </c>
      <c r="C102" s="59">
        <v>0.051</v>
      </c>
      <c r="D102" s="66">
        <f>ROUNDDOWN(($D$117+D101)*C102,2)</f>
        <v>183.51</v>
      </c>
      <c r="E102" s="54" t="s">
        <v>117</v>
      </c>
    </row>
    <row r="103" spans="1:8">
      <c r="A103" s="54" t="s">
        <v>12</v>
      </c>
      <c r="B103" s="54" t="s">
        <v>119</v>
      </c>
      <c r="C103" s="59">
        <f>C104+C105+C106</f>
        <v>0.1425</v>
      </c>
      <c r="D103" s="66">
        <f>ROUNDDOWN(C103*$D$109,2)</f>
        <v>628.46</v>
      </c>
      <c r="E103" s="54" t="s">
        <v>39</v>
      </c>
      <c r="H103" s="55"/>
    </row>
    <row r="104" ht="25.5" spans="1:8">
      <c r="A104" s="54"/>
      <c r="B104" s="54" t="s">
        <v>120</v>
      </c>
      <c r="C104" s="59">
        <v>0.0925</v>
      </c>
      <c r="D104" s="66">
        <f>ROUND(C104*$D$109,2)</f>
        <v>407.95</v>
      </c>
      <c r="E104" s="54" t="s">
        <v>39</v>
      </c>
      <c r="H104" s="55"/>
    </row>
    <row r="105" spans="1:5">
      <c r="A105" s="54"/>
      <c r="B105" s="54" t="s">
        <v>121</v>
      </c>
      <c r="C105" s="59">
        <v>0</v>
      </c>
      <c r="D105" s="66">
        <f>C105*$D$109</f>
        <v>0</v>
      </c>
      <c r="E105" s="54" t="s">
        <v>39</v>
      </c>
    </row>
    <row r="106" spans="1:5">
      <c r="A106" s="54"/>
      <c r="B106" s="54" t="s">
        <v>122</v>
      </c>
      <c r="C106" s="59">
        <v>0.05</v>
      </c>
      <c r="D106" s="66">
        <f>ROUNDDOWN(C106*$D$109,2)</f>
        <v>220.51</v>
      </c>
      <c r="E106" s="54" t="s">
        <v>39</v>
      </c>
    </row>
    <row r="107" s="36" customFormat="1" customHeight="1" spans="1:7">
      <c r="A107" s="57" t="s">
        <v>66</v>
      </c>
      <c r="B107" s="57"/>
      <c r="C107" s="57"/>
      <c r="D107" s="68">
        <f>D106+D104+D102+D101</f>
        <v>916.77</v>
      </c>
      <c r="E107" s="54" t="s">
        <v>39</v>
      </c>
      <c r="G107" s="96"/>
    </row>
    <row r="108" customHeight="1" spans="1:7">
      <c r="A108" s="57" t="s">
        <v>123</v>
      </c>
      <c r="B108" s="57"/>
      <c r="C108" s="97">
        <f>1-C103</f>
        <v>0.8575</v>
      </c>
      <c r="D108" s="97"/>
      <c r="E108" s="54" t="s">
        <v>39</v>
      </c>
      <c r="G108" s="55"/>
    </row>
    <row r="109" customHeight="1" spans="1:5">
      <c r="A109" s="57" t="s">
        <v>124</v>
      </c>
      <c r="B109" s="57"/>
      <c r="C109" s="57"/>
      <c r="D109" s="68">
        <f>ROUNDDOWN((D101+D102+D117)/C108,4)</f>
        <v>4410.2973</v>
      </c>
      <c r="E109" s="54" t="s">
        <v>39</v>
      </c>
    </row>
    <row r="110" customHeight="1" spans="1:7">
      <c r="A110" s="57" t="s">
        <v>125</v>
      </c>
      <c r="B110" s="57"/>
      <c r="C110" s="57"/>
      <c r="D110" s="57"/>
      <c r="E110" s="57"/>
      <c r="G110" s="55"/>
    </row>
    <row r="111" ht="25.5" customHeight="1" spans="1:5">
      <c r="A111" s="57" t="s">
        <v>126</v>
      </c>
      <c r="B111" s="57"/>
      <c r="C111" s="57"/>
      <c r="D111" s="57" t="s">
        <v>34</v>
      </c>
      <c r="E111" s="39" t="s">
        <v>35</v>
      </c>
    </row>
    <row r="112" customHeight="1" spans="1:7">
      <c r="A112" s="57" t="s">
        <v>6</v>
      </c>
      <c r="B112" s="54" t="s">
        <v>32</v>
      </c>
      <c r="C112" s="54"/>
      <c r="D112" s="66">
        <f>D25</f>
        <v>1679.67</v>
      </c>
      <c r="E112" s="94" t="s">
        <v>39</v>
      </c>
      <c r="G112" s="76"/>
    </row>
    <row r="113" customHeight="1" spans="1:5">
      <c r="A113" s="57" t="s">
        <v>9</v>
      </c>
      <c r="B113" s="54" t="s">
        <v>45</v>
      </c>
      <c r="C113" s="54"/>
      <c r="D113" s="66">
        <f>D60</f>
        <v>1336.54</v>
      </c>
      <c r="E113" s="94" t="s">
        <v>39</v>
      </c>
    </row>
    <row r="114" customHeight="1" spans="1:5">
      <c r="A114" s="57" t="s">
        <v>12</v>
      </c>
      <c r="B114" s="54" t="s">
        <v>81</v>
      </c>
      <c r="C114" s="54"/>
      <c r="D114" s="66">
        <f>D69</f>
        <v>127.2</v>
      </c>
      <c r="E114" s="94" t="s">
        <v>39</v>
      </c>
    </row>
    <row r="115" customHeight="1" spans="1:5">
      <c r="A115" s="57" t="s">
        <v>14</v>
      </c>
      <c r="B115" s="54" t="s">
        <v>89</v>
      </c>
      <c r="C115" s="54"/>
      <c r="D115" s="66">
        <f>D92</f>
        <v>307.67</v>
      </c>
      <c r="E115" s="94" t="s">
        <v>39</v>
      </c>
    </row>
    <row r="116" customHeight="1" spans="1:5">
      <c r="A116" s="57" t="s">
        <v>17</v>
      </c>
      <c r="B116" s="54" t="s">
        <v>109</v>
      </c>
      <c r="C116" s="54"/>
      <c r="D116" s="66">
        <f>D98</f>
        <v>42.448284</v>
      </c>
      <c r="E116" s="94" t="s">
        <v>39</v>
      </c>
    </row>
    <row r="117" s="36" customFormat="1" customHeight="1" spans="1:5">
      <c r="A117" s="57" t="s">
        <v>127</v>
      </c>
      <c r="B117" s="57"/>
      <c r="C117" s="57"/>
      <c r="D117" s="68">
        <f>ROUNDDOWN(D116+D115+D114+D113+D112,2)</f>
        <v>3493.52</v>
      </c>
      <c r="E117" s="98" t="s">
        <v>39</v>
      </c>
    </row>
    <row r="118" customHeight="1" spans="1:5">
      <c r="A118" s="57" t="s">
        <v>19</v>
      </c>
      <c r="B118" s="54" t="s">
        <v>128</v>
      </c>
      <c r="C118" s="54"/>
      <c r="D118" s="66">
        <f>D107</f>
        <v>916.77</v>
      </c>
      <c r="E118" s="94" t="s">
        <v>39</v>
      </c>
    </row>
    <row r="119" s="36" customFormat="1" customHeight="1" spans="1:5">
      <c r="A119" s="57" t="s">
        <v>129</v>
      </c>
      <c r="B119" s="57"/>
      <c r="C119" s="57"/>
      <c r="D119" s="68">
        <f>D118+D117</f>
        <v>4410.29</v>
      </c>
      <c r="E119" s="98" t="s">
        <v>39</v>
      </c>
    </row>
  </sheetData>
  <mergeCells count="78">
    <mergeCell ref="A1:E1"/>
    <mergeCell ref="A2:B2"/>
    <mergeCell ref="C2:E2"/>
    <mergeCell ref="A3:B3"/>
    <mergeCell ref="C3:E3"/>
    <mergeCell ref="A4:B4"/>
    <mergeCell ref="C4:E4"/>
    <mergeCell ref="A5:E5"/>
    <mergeCell ref="B6:D6"/>
    <mergeCell ref="B7:D7"/>
    <mergeCell ref="B8:D8"/>
    <mergeCell ref="B9:D9"/>
    <mergeCell ref="B10:D10"/>
    <mergeCell ref="B11:D11"/>
    <mergeCell ref="B12:D12"/>
    <mergeCell ref="A13:E13"/>
    <mergeCell ref="B14:D14"/>
    <mergeCell ref="B15:D15"/>
    <mergeCell ref="A16:D16"/>
    <mergeCell ref="A17:E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6"/>
    <mergeCell ref="A27:E27"/>
    <mergeCell ref="A31:B31"/>
    <mergeCell ref="A33:B33"/>
    <mergeCell ref="A34:E34"/>
    <mergeCell ref="A44:B44"/>
    <mergeCell ref="A45:E45"/>
    <mergeCell ref="A54:C54"/>
    <mergeCell ref="A55:E55"/>
    <mergeCell ref="B56:C56"/>
    <mergeCell ref="B57:C57"/>
    <mergeCell ref="B58:C58"/>
    <mergeCell ref="B59:C59"/>
    <mergeCell ref="A60:C60"/>
    <mergeCell ref="A61:E61"/>
    <mergeCell ref="A69:B69"/>
    <mergeCell ref="A70:E70"/>
    <mergeCell ref="A71:E71"/>
    <mergeCell ref="A79:B79"/>
    <mergeCell ref="A83:B83"/>
    <mergeCell ref="A84:E84"/>
    <mergeCell ref="B85:C85"/>
    <mergeCell ref="B86:C86"/>
    <mergeCell ref="A87:C87"/>
    <mergeCell ref="A88:E88"/>
    <mergeCell ref="B89:C89"/>
    <mergeCell ref="B90:C90"/>
    <mergeCell ref="B91:C91"/>
    <mergeCell ref="A92:C92"/>
    <mergeCell ref="A93:E93"/>
    <mergeCell ref="B94:C94"/>
    <mergeCell ref="B95:C95"/>
    <mergeCell ref="B96:C96"/>
    <mergeCell ref="B97:C97"/>
    <mergeCell ref="A98:C98"/>
    <mergeCell ref="A99:E99"/>
    <mergeCell ref="A107:C107"/>
    <mergeCell ref="A108:B108"/>
    <mergeCell ref="C108:D108"/>
    <mergeCell ref="A109:C109"/>
    <mergeCell ref="A110:E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A119:C119"/>
  </mergeCells>
  <pageMargins left="0.511805555555556" right="0.511805555555556" top="0.786805555555556" bottom="0.786805555555556" header="0.511805555555556" footer="0.511805555555556"/>
  <pageSetup paperSize="9" scale="70" firstPageNumber="0" fitToHeight="2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Encarregado - OP</vt:lpstr>
      <vt:lpstr>Servente-op-periculosidade</vt:lpstr>
      <vt:lpstr>Servente - op</vt:lpstr>
      <vt:lpstr>Servente-op-insal. - Grau Médio</vt:lpstr>
      <vt:lpstr>Servente-op-insal. - Grau Máx.</vt:lpstr>
      <vt:lpstr>Encarregado - MA</vt:lpstr>
      <vt:lpstr>Servente - Mariana</vt:lpstr>
      <vt:lpstr>Servente-MA-Insa-Máximo</vt:lpstr>
      <vt:lpstr>Encarregado- João Monlevade</vt:lpstr>
      <vt:lpstr>Servente - João Monlevade</vt:lpstr>
      <vt:lpstr>Servente - JM- Insa. Grau Máxi</vt:lpstr>
      <vt:lpstr>Servente - BH - Insa - Grau Máx</vt:lpstr>
      <vt:lpstr>complemento serviços limpeza</vt:lpstr>
      <vt:lpstr>Limpeza valores LIMITES SEGES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UFOP</cp:lastModifiedBy>
  <cp:revision>0</cp:revision>
  <dcterms:created xsi:type="dcterms:W3CDTF">2018-01-23T19:35:00Z</dcterms:created>
  <cp:lastPrinted>2019-04-26T14:40:00Z</cp:lastPrinted>
  <dcterms:modified xsi:type="dcterms:W3CDTF">2019-05-06T13:32:01Z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1046-11.2.0.8339</vt:lpwstr>
  </property>
</Properties>
</file>