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15480" windowHeight="6150" tabRatio="935" activeTab="0"/>
  </bookViews>
  <sheets>
    <sheet name="GERAL" sheetId="1" r:id="rId1"/>
    <sheet name="1-GERENC." sheetId="2" r:id="rId2"/>
    <sheet name="2-PROJETO" sheetId="3" r:id="rId3"/>
    <sheet name="3-S. PRELIMINARES " sheetId="4" r:id="rId4"/>
    <sheet name="4-MOV. TERRA" sheetId="5" r:id="rId5"/>
    <sheet name="5-ALVENARIA" sheetId="6" r:id="rId6"/>
    <sheet name="6-ESQUADRIAS" sheetId="7" r:id="rId7"/>
    <sheet name="7-VIDROS" sheetId="8" r:id="rId8"/>
    <sheet name="8-PINTURA" sheetId="9" r:id="rId9"/>
    <sheet name="9-COBERTURAS" sheetId="10" r:id="rId10"/>
    <sheet name="10-REVEST." sheetId="11" r:id="rId11"/>
    <sheet name="11-I. ELÉTRICAS" sheetId="12" r:id="rId12"/>
    <sheet name="12-SPDA" sheetId="13" r:id="rId13"/>
    <sheet name="13-I.TELECOM." sheetId="14" r:id="rId14"/>
    <sheet name="14-I.HIDROS." sheetId="15" r:id="rId15"/>
    <sheet name="15-INCÊNDIO" sheetId="16" r:id="rId16"/>
    <sheet name="16-CLIMAT." sheetId="17" r:id="rId17"/>
    <sheet name="17-S. COMPLEMENTARES" sheetId="18" r:id="rId18"/>
    <sheet name="CRONOGRAMA" sheetId="19" r:id="rId19"/>
  </sheets>
  <externalReferences>
    <externalReference r:id="rId22"/>
  </externalReferences>
  <definedNames>
    <definedName name="__1Excel_BuiltIn_Print_Area_2_1" localSheetId="10">#REF!</definedName>
    <definedName name="__1Excel_BuiltIn_Print_Area_2_1" localSheetId="11">#REF!</definedName>
    <definedName name="__1Excel_BuiltIn_Print_Area_2_1" localSheetId="12">#REF!</definedName>
    <definedName name="__1Excel_BuiltIn_Print_Area_2_1" localSheetId="13">#REF!</definedName>
    <definedName name="__1Excel_BuiltIn_Print_Area_2_1" localSheetId="14">#REF!</definedName>
    <definedName name="__1Excel_BuiltIn_Print_Area_2_1" localSheetId="15">#REF!</definedName>
    <definedName name="__1Excel_BuiltIn_Print_Area_2_1" localSheetId="16">#REF!</definedName>
    <definedName name="__1Excel_BuiltIn_Print_Area_2_1" localSheetId="17">#REF!</definedName>
    <definedName name="__1Excel_BuiltIn_Print_Area_2_1" localSheetId="2">#REF!</definedName>
    <definedName name="__1Excel_BuiltIn_Print_Area_2_1" localSheetId="3">#REF!</definedName>
    <definedName name="__1Excel_BuiltIn_Print_Area_2_1" localSheetId="4">#REF!</definedName>
    <definedName name="__1Excel_BuiltIn_Print_Area_2_1" localSheetId="5">#REF!</definedName>
    <definedName name="__1Excel_BuiltIn_Print_Area_2_1" localSheetId="6">#REF!</definedName>
    <definedName name="__1Excel_BuiltIn_Print_Area_2_1" localSheetId="7">#REF!</definedName>
    <definedName name="__1Excel_BuiltIn_Print_Area_2_1" localSheetId="8">#REF!</definedName>
    <definedName name="__1Excel_BuiltIn_Print_Area_2_1" localSheetId="9">#REF!</definedName>
    <definedName name="__1Excel_BuiltIn_Print_Area_2_1">#REF!</definedName>
    <definedName name="_1Excel_BuiltIn_Print_Area_2_1" localSheetId="10">#REF!</definedName>
    <definedName name="_1Excel_BuiltIn_Print_Area_2_1" localSheetId="11">#REF!</definedName>
    <definedName name="_1Excel_BuiltIn_Print_Area_2_1" localSheetId="12">#REF!</definedName>
    <definedName name="_1Excel_BuiltIn_Print_Area_2_1" localSheetId="13">#REF!</definedName>
    <definedName name="_1Excel_BuiltIn_Print_Area_2_1" localSheetId="14">#REF!</definedName>
    <definedName name="_1Excel_BuiltIn_Print_Area_2_1" localSheetId="15">#REF!</definedName>
    <definedName name="_1Excel_BuiltIn_Print_Area_2_1" localSheetId="16">#REF!</definedName>
    <definedName name="_1Excel_BuiltIn_Print_Area_2_1" localSheetId="17">#REF!</definedName>
    <definedName name="_1Excel_BuiltIn_Print_Area_2_1" localSheetId="2">#REF!</definedName>
    <definedName name="_1Excel_BuiltIn_Print_Area_2_1" localSheetId="3">#REF!</definedName>
    <definedName name="_1Excel_BuiltIn_Print_Area_2_1" localSheetId="4">#REF!</definedName>
    <definedName name="_1Excel_BuiltIn_Print_Area_2_1" localSheetId="5">#REF!</definedName>
    <definedName name="_1Excel_BuiltIn_Print_Area_2_1" localSheetId="6">#REF!</definedName>
    <definedName name="_1Excel_BuiltIn_Print_Area_2_1" localSheetId="7">#REF!</definedName>
    <definedName name="_1Excel_BuiltIn_Print_Area_2_1" localSheetId="8">#REF!</definedName>
    <definedName name="_1Excel_BuiltIn_Print_Area_2_1" localSheetId="9">#REF!</definedName>
    <definedName name="_1Excel_BuiltIn_Print_Area_2_1">#REF!</definedName>
    <definedName name="A1XA5" localSheetId="11">'[1]5-ESQUADRIAS'!#REF!</definedName>
    <definedName name="A1XA5" localSheetId="12">'[1]5-ESQUADRIAS'!#REF!</definedName>
    <definedName name="A1XA5" localSheetId="13">'[1]5-ESQUADRIAS'!#REF!</definedName>
    <definedName name="A1XA5" localSheetId="14">'[1]5-ESQUADRIAS'!#REF!</definedName>
    <definedName name="A1XA5" localSheetId="15">'[1]5-ESQUADRIAS'!#REF!</definedName>
    <definedName name="A1XA5" localSheetId="16">'[1]5-ESQUADRIAS'!#REF!</definedName>
    <definedName name="A1XA5" localSheetId="17">'[1]5-ESQUADRIAS'!#REF!</definedName>
    <definedName name="A1XA5" localSheetId="2">'[1]5-ESQUADRIAS'!#REF!</definedName>
    <definedName name="A1XA5" localSheetId="3">'[1]5-ESQUADRIAS'!#REF!</definedName>
    <definedName name="A1XA5" localSheetId="4">'[1]5-ESQUADRIAS'!#REF!</definedName>
    <definedName name="A1XA5" localSheetId="5">'[1]5-ESQUADRIAS'!#REF!</definedName>
    <definedName name="A1XA5" localSheetId="6">'[1]5-ESQUADRIAS'!#REF!</definedName>
    <definedName name="A1XA5" localSheetId="7">'[1]5-ESQUADRIAS'!#REF!</definedName>
    <definedName name="A1XA5" localSheetId="8">'[1]5-ESQUADRIAS'!#REF!</definedName>
    <definedName name="A1XA5" localSheetId="9">'[1]5-ESQUADRIAS'!#REF!</definedName>
    <definedName name="A1XA5">'[1]5-ESQUADRIAS'!#REF!</definedName>
    <definedName name="Excel_BuiltIn_Print_Area_6" localSheetId="11">#REF!</definedName>
    <definedName name="Excel_BuiltIn_Print_Area_6" localSheetId="12">#REF!</definedName>
    <definedName name="Excel_BuiltIn_Print_Area_6" localSheetId="13">#REF!</definedName>
    <definedName name="Excel_BuiltIn_Print_Area_6" localSheetId="14">#REF!</definedName>
    <definedName name="Excel_BuiltIn_Print_Area_6" localSheetId="15">#REF!</definedName>
    <definedName name="Excel_BuiltIn_Print_Area_6" localSheetId="16">#REF!</definedName>
    <definedName name="Excel_BuiltIn_Print_Area_6" localSheetId="17">#REF!</definedName>
    <definedName name="Excel_BuiltIn_Print_Area_6" localSheetId="2">#REF!</definedName>
    <definedName name="Excel_BuiltIn_Print_Area_6" localSheetId="3">#REF!</definedName>
    <definedName name="Excel_BuiltIn_Print_Area_6" localSheetId="4">#REF!</definedName>
    <definedName name="Excel_BuiltIn_Print_Area_6" localSheetId="5">#REF!</definedName>
    <definedName name="Excel_BuiltIn_Print_Area_6" localSheetId="6">#REF!</definedName>
    <definedName name="Excel_BuiltIn_Print_Area_6" localSheetId="7">#REF!</definedName>
    <definedName name="Excel_BuiltIn_Print_Area_6" localSheetId="8">#REF!</definedName>
    <definedName name="Excel_BuiltIn_Print_Area_6" localSheetId="9">#REF!</definedName>
    <definedName name="Excel_BuiltIn_Print_Area_6">#REF!</definedName>
    <definedName name="Excel_BuiltIn_Print_Titles_10" localSheetId="11">#REF!</definedName>
    <definedName name="Excel_BuiltIn_Print_Titles_10" localSheetId="12">#REF!</definedName>
    <definedName name="Excel_BuiltIn_Print_Titles_10" localSheetId="13">#REF!</definedName>
    <definedName name="Excel_BuiltIn_Print_Titles_10" localSheetId="14">#REF!</definedName>
    <definedName name="Excel_BuiltIn_Print_Titles_10" localSheetId="15">#REF!</definedName>
    <definedName name="Excel_BuiltIn_Print_Titles_10" localSheetId="16">#REF!</definedName>
    <definedName name="Excel_BuiltIn_Print_Titles_10" localSheetId="17">#REF!</definedName>
    <definedName name="Excel_BuiltIn_Print_Titles_10" localSheetId="2">#REF!</definedName>
    <definedName name="Excel_BuiltIn_Print_Titles_10" localSheetId="3">#REF!</definedName>
    <definedName name="Excel_BuiltIn_Print_Titles_10" localSheetId="4">#REF!</definedName>
    <definedName name="Excel_BuiltIn_Print_Titles_10" localSheetId="5">#REF!</definedName>
    <definedName name="Excel_BuiltIn_Print_Titles_10" localSheetId="6">#REF!</definedName>
    <definedName name="Excel_BuiltIn_Print_Titles_10" localSheetId="7">#REF!</definedName>
    <definedName name="Excel_BuiltIn_Print_Titles_10" localSheetId="8">#REF!</definedName>
    <definedName name="Excel_BuiltIn_Print_Titles_10" localSheetId="9">#REF!</definedName>
    <definedName name="Excel_BuiltIn_Print_Titles_10">#REF!</definedName>
    <definedName name="Excel_BuiltIn_Print_Titles_3" localSheetId="11">#REF!</definedName>
    <definedName name="Excel_BuiltIn_Print_Titles_3" localSheetId="12">#REF!</definedName>
    <definedName name="Excel_BuiltIn_Print_Titles_3" localSheetId="13">#REF!</definedName>
    <definedName name="Excel_BuiltIn_Print_Titles_3" localSheetId="14">#REF!</definedName>
    <definedName name="Excel_BuiltIn_Print_Titles_3" localSheetId="15">#REF!</definedName>
    <definedName name="Excel_BuiltIn_Print_Titles_3" localSheetId="16">#REF!</definedName>
    <definedName name="Excel_BuiltIn_Print_Titles_3" localSheetId="17">#REF!</definedName>
    <definedName name="Excel_BuiltIn_Print_Titles_3" localSheetId="2">#REF!</definedName>
    <definedName name="Excel_BuiltIn_Print_Titles_3" localSheetId="3">#REF!</definedName>
    <definedName name="Excel_BuiltIn_Print_Titles_3" localSheetId="4">#REF!</definedName>
    <definedName name="Excel_BuiltIn_Print_Titles_3" localSheetId="5">#REF!</definedName>
    <definedName name="Excel_BuiltIn_Print_Titles_3" localSheetId="6">#REF!</definedName>
    <definedName name="Excel_BuiltIn_Print_Titles_3" localSheetId="7">#REF!</definedName>
    <definedName name="Excel_BuiltIn_Print_Titles_3" localSheetId="8">#REF!</definedName>
    <definedName name="Excel_BuiltIn_Print_Titles_3" localSheetId="9">#REF!</definedName>
    <definedName name="Excel_BuiltIn_Print_Titles_3">#REF!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14">#REF!</definedName>
    <definedName name="Excel_BuiltIn_Print_Titles_4" localSheetId="15">#REF!</definedName>
    <definedName name="Excel_BuiltIn_Print_Titles_4" localSheetId="16">#REF!</definedName>
    <definedName name="Excel_BuiltIn_Print_Titles_4" localSheetId="17">#REF!</definedName>
    <definedName name="Excel_BuiltIn_Print_Titles_4" localSheetId="2">#REF!</definedName>
    <definedName name="Excel_BuiltIn_Print_Titles_4" localSheetId="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8">#REF!</definedName>
    <definedName name="Excel_BuiltIn_Print_Titles_4" localSheetId="9">#REF!</definedName>
    <definedName name="Excel_BuiltIn_Print_Titles_4">#REF!</definedName>
    <definedName name="Excel_BuiltIn_Print_Titles_5" localSheetId="11">#REF!</definedName>
    <definedName name="Excel_BuiltIn_Print_Titles_5" localSheetId="12">#REF!</definedName>
    <definedName name="Excel_BuiltIn_Print_Titles_5" localSheetId="13">#REF!</definedName>
    <definedName name="Excel_BuiltIn_Print_Titles_5" localSheetId="14">#REF!</definedName>
    <definedName name="Excel_BuiltIn_Print_Titles_5" localSheetId="15">#REF!</definedName>
    <definedName name="Excel_BuiltIn_Print_Titles_5" localSheetId="16">#REF!</definedName>
    <definedName name="Excel_BuiltIn_Print_Titles_5" localSheetId="17">#REF!</definedName>
    <definedName name="Excel_BuiltIn_Print_Titles_5" localSheetId="2">#REF!</definedName>
    <definedName name="Excel_BuiltIn_Print_Titles_5" localSheetId="3">#REF!</definedName>
    <definedName name="Excel_BuiltIn_Print_Titles_5" localSheetId="4">#REF!</definedName>
    <definedName name="Excel_BuiltIn_Print_Titles_5" localSheetId="5">#REF!</definedName>
    <definedName name="Excel_BuiltIn_Print_Titles_5" localSheetId="6">#REF!</definedName>
    <definedName name="Excel_BuiltIn_Print_Titles_5" localSheetId="7">#REF!</definedName>
    <definedName name="Excel_BuiltIn_Print_Titles_5" localSheetId="8">#REF!</definedName>
    <definedName name="Excel_BuiltIn_Print_Titles_5" localSheetId="9">#REF!</definedName>
    <definedName name="Excel_BuiltIn_Print_Titles_5">#REF!</definedName>
    <definedName name="Excel_BuiltIn_Print_Titles_6" localSheetId="11">#REF!</definedName>
    <definedName name="Excel_BuiltIn_Print_Titles_6" localSheetId="12">#REF!</definedName>
    <definedName name="Excel_BuiltIn_Print_Titles_6" localSheetId="13">#REF!</definedName>
    <definedName name="Excel_BuiltIn_Print_Titles_6" localSheetId="14">#REF!</definedName>
    <definedName name="Excel_BuiltIn_Print_Titles_6" localSheetId="15">#REF!</definedName>
    <definedName name="Excel_BuiltIn_Print_Titles_6" localSheetId="16">#REF!</definedName>
    <definedName name="Excel_BuiltIn_Print_Titles_6" localSheetId="17">#REF!</definedName>
    <definedName name="Excel_BuiltIn_Print_Titles_6" localSheetId="2">#REF!</definedName>
    <definedName name="Excel_BuiltIn_Print_Titles_6" localSheetId="3">#REF!</definedName>
    <definedName name="Excel_BuiltIn_Print_Titles_6" localSheetId="4">#REF!</definedName>
    <definedName name="Excel_BuiltIn_Print_Titles_6" localSheetId="5">#REF!</definedName>
    <definedName name="Excel_BuiltIn_Print_Titles_6" localSheetId="6">#REF!</definedName>
    <definedName name="Excel_BuiltIn_Print_Titles_6" localSheetId="7">#REF!</definedName>
    <definedName name="Excel_BuiltIn_Print_Titles_6" localSheetId="8">#REF!</definedName>
    <definedName name="Excel_BuiltIn_Print_Titles_6" localSheetId="9">#REF!</definedName>
    <definedName name="Excel_BuiltIn_Print_Titles_6">#REF!</definedName>
    <definedName name="Excel_BuiltIn_Print_Titles_7" localSheetId="11">#REF!</definedName>
    <definedName name="Excel_BuiltIn_Print_Titles_7" localSheetId="12">#REF!</definedName>
    <definedName name="Excel_BuiltIn_Print_Titles_7" localSheetId="13">#REF!</definedName>
    <definedName name="Excel_BuiltIn_Print_Titles_7" localSheetId="14">#REF!</definedName>
    <definedName name="Excel_BuiltIn_Print_Titles_7" localSheetId="15">#REF!</definedName>
    <definedName name="Excel_BuiltIn_Print_Titles_7" localSheetId="16">#REF!</definedName>
    <definedName name="Excel_BuiltIn_Print_Titles_7" localSheetId="17">#REF!</definedName>
    <definedName name="Excel_BuiltIn_Print_Titles_7" localSheetId="2">#REF!</definedName>
    <definedName name="Excel_BuiltIn_Print_Titles_7" localSheetId="3">#REF!</definedName>
    <definedName name="Excel_BuiltIn_Print_Titles_7" localSheetId="4">#REF!</definedName>
    <definedName name="Excel_BuiltIn_Print_Titles_7" localSheetId="5">#REF!</definedName>
    <definedName name="Excel_BuiltIn_Print_Titles_7" localSheetId="6">#REF!</definedName>
    <definedName name="Excel_BuiltIn_Print_Titles_7" localSheetId="7">#REF!</definedName>
    <definedName name="Excel_BuiltIn_Print_Titles_7" localSheetId="8">#REF!</definedName>
    <definedName name="Excel_BuiltIn_Print_Titles_7" localSheetId="9">#REF!</definedName>
    <definedName name="Excel_BuiltIn_Print_Titles_7">#REF!</definedName>
    <definedName name="Excel_BuiltIn_Print_Titles_9" localSheetId="11">#REF!</definedName>
    <definedName name="Excel_BuiltIn_Print_Titles_9" localSheetId="12">#REF!</definedName>
    <definedName name="Excel_BuiltIn_Print_Titles_9" localSheetId="13">#REF!</definedName>
    <definedName name="Excel_BuiltIn_Print_Titles_9" localSheetId="14">#REF!</definedName>
    <definedName name="Excel_BuiltIn_Print_Titles_9" localSheetId="15">#REF!</definedName>
    <definedName name="Excel_BuiltIn_Print_Titles_9" localSheetId="16">#REF!</definedName>
    <definedName name="Excel_BuiltIn_Print_Titles_9" localSheetId="17">#REF!</definedName>
    <definedName name="Excel_BuiltIn_Print_Titles_9" localSheetId="2">#REF!</definedName>
    <definedName name="Excel_BuiltIn_Print_Titles_9" localSheetId="3">#REF!</definedName>
    <definedName name="Excel_BuiltIn_Print_Titles_9" localSheetId="4">#REF!</definedName>
    <definedName name="Excel_BuiltIn_Print_Titles_9" localSheetId="5">#REF!</definedName>
    <definedName name="Excel_BuiltIn_Print_Titles_9" localSheetId="6">#REF!</definedName>
    <definedName name="Excel_BuiltIn_Print_Titles_9" localSheetId="7">#REF!</definedName>
    <definedName name="Excel_BuiltIn_Print_Titles_9" localSheetId="8">#REF!</definedName>
    <definedName name="Excel_BuiltIn_Print_Titles_9" localSheetId="9">#REF!</definedName>
    <definedName name="Excel_BuiltIn_Print_Titles_9">#REF!</definedName>
    <definedName name="SSS" localSheetId="12">#REF!</definedName>
    <definedName name="SSS" localSheetId="13">#REF!</definedName>
    <definedName name="SSS" localSheetId="14">#REF!</definedName>
    <definedName name="SSS" localSheetId="15">#REF!</definedName>
    <definedName name="SSS" localSheetId="16">#REF!</definedName>
    <definedName name="SSS" localSheetId="17">#REF!</definedName>
    <definedName name="SSS" localSheetId="2">#REF!</definedName>
    <definedName name="SSS" localSheetId="4">#REF!</definedName>
    <definedName name="SSS" localSheetId="6">#REF!</definedName>
    <definedName name="SSS" localSheetId="9">#REF!</definedName>
    <definedName name="SSS">#REF!</definedName>
    <definedName name="_xlnm.Print_Titles" localSheetId="10">'10-REVEST.'!$7:$7</definedName>
    <definedName name="_xlnm.Print_Titles" localSheetId="11">'11-I. ELÉTRICAS'!$7:$7</definedName>
    <definedName name="_xlnm.Print_Titles" localSheetId="12">'12-SPDA'!$7:$7</definedName>
    <definedName name="_xlnm.Print_Titles" localSheetId="13">'13-I.TELECOM.'!$7:$7</definedName>
    <definedName name="_xlnm.Print_Titles" localSheetId="14">'14-I.HIDROS.'!$7:$7</definedName>
    <definedName name="_xlnm.Print_Titles" localSheetId="15">'15-INCÊNDIO'!$7:$7</definedName>
    <definedName name="_xlnm.Print_Titles" localSheetId="16">'16-CLIMAT.'!$7:$7</definedName>
    <definedName name="_xlnm.Print_Titles" localSheetId="17">'17-S. COMPLEMENTARES'!$7:$7</definedName>
    <definedName name="_xlnm.Print_Titles" localSheetId="1">'1-GERENC.'!$1:$7</definedName>
    <definedName name="_xlnm.Print_Titles" localSheetId="2">'2-PROJETO'!$1:$7</definedName>
    <definedName name="_xlnm.Print_Titles" localSheetId="3">'3-S. PRELIMINARES '!$1:$7</definedName>
    <definedName name="_xlnm.Print_Titles" localSheetId="4">'4-MOV. TERRA'!$7:$7</definedName>
    <definedName name="_xlnm.Print_Titles" localSheetId="5">'5-ALVENARIA'!$1:$7</definedName>
    <definedName name="_xlnm.Print_Titles" localSheetId="6">'6-ESQUADRIAS'!$1:$7</definedName>
    <definedName name="_xlnm.Print_Titles" localSheetId="7">'7-VIDROS'!$7:$7</definedName>
    <definedName name="_xlnm.Print_Titles" localSheetId="8">'8-PINTURA'!$7:$7</definedName>
    <definedName name="_xlnm.Print_Titles" localSheetId="9">'9-COBERTURAS'!$7:$7</definedName>
  </definedNames>
  <calcPr fullCalcOnLoad="1"/>
</workbook>
</file>

<file path=xl/sharedStrings.xml><?xml version="1.0" encoding="utf-8"?>
<sst xmlns="http://schemas.openxmlformats.org/spreadsheetml/2006/main" count="3754" uniqueCount="1592">
  <si>
    <t xml:space="preserve">TOTAL GERAL </t>
  </si>
  <si>
    <t>ITEM</t>
  </si>
  <si>
    <t>PLANILHA DE REFERÊNCIA</t>
  </si>
  <si>
    <t>UNIVERSIDADE FEDERAL DE OURO PRETO - UFOP</t>
  </si>
  <si>
    <t>ESPECIFICAÇÃO</t>
  </si>
  <si>
    <t>UNIT</t>
  </si>
  <si>
    <t>QUANT.</t>
  </si>
  <si>
    <t>PREÇO</t>
  </si>
  <si>
    <t>PREÇO TOTAL</t>
  </si>
  <si>
    <t>m²</t>
  </si>
  <si>
    <t>TOTAL</t>
  </si>
  <si>
    <t>unid.</t>
  </si>
  <si>
    <t>mês</t>
  </si>
  <si>
    <t>Mobilização e desmobilização de pessoal e equipamentos</t>
  </si>
  <si>
    <t>%</t>
  </si>
  <si>
    <t xml:space="preserve">CRONOGRAMA FÍSICO FINANCEIRO </t>
  </si>
  <si>
    <t>UNIVERSIDADE FEDERAL DE OURO PRETO</t>
  </si>
  <si>
    <t>DESCRIÇÃO</t>
  </si>
  <si>
    <t>VALOR</t>
  </si>
  <si>
    <t>TOTAL ACUMULADO</t>
  </si>
  <si>
    <t>Arq. Edmundo Dantas Gonçalves
Chefe Divisão de Projetos
PRECAM/UFOP</t>
  </si>
  <si>
    <t>CÓDIGOS</t>
  </si>
  <si>
    <t>SERVIÇOS PRELIMINARES</t>
  </si>
  <si>
    <t>NOTAS:</t>
  </si>
  <si>
    <t>OS ITENS DA PLANILHA REFEREM-SE A SERVIÇOS CUJAS COMPOSIÇÕES DE CUSTO INCLUEM O FORNECIMENTO E EXECUÇÃO COMPLETA E TOTAL DOS MESMOS.</t>
  </si>
  <si>
    <t>É INDISPENSÁVEL ANÁLISE CRITERIOSA DOS CADERNOS DE ESPECIFICAÇÕES, ENCARGOS E  PROJETOS PARA QUE SE INCLUA NAS COMPOSIÇÕES DE PREÇOS DOS SERVIÇOS ESPECIFICADOS NA PLANILHA TODOS OS ELEMENTOS NECESSÁRIOS PARA COMPLETA EXECUÇÃO DENTRO DAS NORMAS DE ENGENHARIA, DE SEGURANÇA E GARANTIAS DAS LEIS VIGENTES.</t>
  </si>
  <si>
    <t>TODOS OS SERVIÇOS SECUNDÁRIOS E ACESSÓRIOS, EQUIPAMENTOS, FERRAMENTAS NÃO DISCRIMINADOS, CONSTANTES OU NÃO DOS ANEXOS E QUE SÃO NECESSÁRIOS PARA A EXECUÇÃO COMPLETA DOS SERVIÇOS, OBRAS E INSTALAÇÕES DEVERÃO ESTAR INCLUSOS NOS ITENS DA PLANILHA, DENTRO DE SUAS RESPECTIVAS COMPOSIÇÕES DE PREÇOS E NO VALOR APRESENTADO.</t>
  </si>
  <si>
    <t>TODAS AS COTAÇÕES E COMPOSIÇÕES DE PREÇOS SÃO DE RESPONSABILIDADE DA LICITANTE E INDEPENDENTES DA PLANILHA DE REFERÊNCIA DA UFOP.</t>
  </si>
  <si>
    <t>COMPOSIÇÕES</t>
  </si>
  <si>
    <t xml:space="preserve">PREÇO </t>
  </si>
  <si>
    <t>REFERÊNCIA</t>
  </si>
  <si>
    <t xml:space="preserve">TOTAL </t>
  </si>
  <si>
    <t>Limpeza final da obra</t>
  </si>
  <si>
    <t>COMPOSIÇÃO</t>
  </si>
  <si>
    <t>h</t>
  </si>
  <si>
    <t>UNID</t>
  </si>
  <si>
    <t>m³</t>
  </si>
  <si>
    <t>Ivana Perucci
Divisão de Projetos                                                   PRECAM/UFOP</t>
  </si>
  <si>
    <t xml:space="preserve">Materiais e mão de obra para execução dos serviços especificados </t>
  </si>
  <si>
    <t>INSTALAÇÕES ELÉTRICAS</t>
  </si>
  <si>
    <t>unid</t>
  </si>
  <si>
    <t>kg</t>
  </si>
  <si>
    <t>PINTURA</t>
  </si>
  <si>
    <t>H</t>
  </si>
  <si>
    <t>m</t>
  </si>
  <si>
    <t>COTAÇÃO</t>
  </si>
  <si>
    <t>0-30 DIAS</t>
  </si>
  <si>
    <t>30-60 DIAS</t>
  </si>
  <si>
    <t>Readequação e Reforma - Bloco  B - ICEA</t>
  </si>
  <si>
    <t>GERENCIAMENTO DE OBRAS/FISCALIZAÇÃO</t>
  </si>
  <si>
    <t>ESQUADRIAS</t>
  </si>
  <si>
    <t>VIDROS</t>
  </si>
  <si>
    <t>COBERTURA</t>
  </si>
  <si>
    <t>REVESTIMENTO</t>
  </si>
  <si>
    <t>SPDA</t>
  </si>
  <si>
    <t>INSTALAÇÕES DE TELECOMUNICAÇÕES</t>
  </si>
  <si>
    <t>INSTALAÇÕES HIDROSSANITÁRIAS</t>
  </si>
  <si>
    <t>INSTALAÇÕES DE COMBATE A INCÊNDIO</t>
  </si>
  <si>
    <t>CLIMATIZAÇÃO</t>
  </si>
  <si>
    <t>CERCAS E ALAMBRADO</t>
  </si>
  <si>
    <t>BANCADAS, PRATELEIRAS E ACABAMENTOS DE PEITORIS</t>
  </si>
  <si>
    <t>MOVIMENTO DE TERRA</t>
  </si>
  <si>
    <t>SERVIÇOS COMPLEMENTARES</t>
  </si>
  <si>
    <t>CAMPUS JOÃO MONLEVADE</t>
  </si>
  <si>
    <t>PROJETOS</t>
  </si>
  <si>
    <t>Técnico em Segurança do Trabalho</t>
  </si>
  <si>
    <t>INSTALAÇÃO DE CANTEIRO DE OBRAS</t>
  </si>
  <si>
    <t>Placa de obra em chapa de aço galvanizado</t>
  </si>
  <si>
    <t>DEMOLIÇÃO</t>
  </si>
  <si>
    <t>Rasgo em alvenaria para tubulação de climatização</t>
  </si>
  <si>
    <t>Retirada de vidro de esquadrias, inclusive limpeza do encaixe</t>
  </si>
  <si>
    <t>Demolição de concreto simples</t>
  </si>
  <si>
    <t>Furo em peça de concreto D =32 mm, L&lt;=40 cm, para passagem das tubulações da rede hidraúlica e rede elétrica</t>
  </si>
  <si>
    <t>Furo em peça de concreto D = 75 mm, L &lt;= 40 cm, para passagem das tubulações de incêndio</t>
  </si>
  <si>
    <t>Demolição de piso vinílico, inclusive afastamento</t>
  </si>
  <si>
    <t>Demolição de reboco, inclusive afastamento</t>
  </si>
  <si>
    <t>Retirada de Divisória</t>
  </si>
  <si>
    <t>Remoção de porta ou janela metálica, inclusive afastamento</t>
  </si>
  <si>
    <t>Remoção de porta ou janela inclusive marco e alisar, inclusive afastamento e empilhamento</t>
  </si>
  <si>
    <t>Rasgo concreto para tubulação D=15 a 25 mm (1/2" a 1")</t>
  </si>
  <si>
    <t>Rasgos em alvenaria para passagem de eletroduto D=15 mm</t>
  </si>
  <si>
    <t>Remoção de metais comuns (conduíte, sifão, registro, torneiras)</t>
  </si>
  <si>
    <t>Remoção de louças (lavatório, banheira, pia, vaso sanitário, tanque)</t>
  </si>
  <si>
    <t>Retirada de tubulações embutidas de rede de água, elétrica, gases, etc,. Inclusive cortes e desvios</t>
  </si>
  <si>
    <t>ALVENARIA EM TIJOLO CERÂMICO</t>
  </si>
  <si>
    <t>Alvenaria de tijolo cerâmico furado E=10 cm</t>
  </si>
  <si>
    <t>Alvenaria de tijolo cerâmico furado E=20 cm</t>
  </si>
  <si>
    <t>PAREDE DE DRY WALL</t>
  </si>
  <si>
    <t xml:space="preserve">Divisórias em painel de Drywall W112 ref. Knauf. Constituída por duas chapas de cada lado (4x12,5mm) e isolamento acústico em Lã Mineral espessura 50mm. Estrutura formada por perfis de aço galvanizado com larguras de 70mm, do piso ao teto, com perfis fixados de 40 em 40cm. Espessura total da divisória e=120mm. </t>
  </si>
  <si>
    <t>PORTA</t>
  </si>
  <si>
    <t>P1 - 120 cm x 210 cm, porta tipo prancheta constituída de compensado laminado duplo, com miolo de estrutura celular de formato hexagonal, espessura=35 mm, requadro de madeira maciça e reforço de madeira maciça nos dois montantes, 2 folhas de abrir, incluso aduela 2A, alizar 2A e dobradiça - incluso fornecimento e instalação</t>
  </si>
  <si>
    <t>P2 - 80 cm x 210 cm, porta tipo prancheta constituída de compensado laminado duplo, com miolo de estrutura celular de formato hexagonal, espessura=35 mm, requadro de madeira maciça e reforço de madeira maciça nos dois montantes, 1 folha de abrir, incluso aduela 2A, alizar 2A e dobradiça - incluindo fornecimento e instalação</t>
  </si>
  <si>
    <t>P3 - 70 cm x 210 cm, porta tipo prancheta constituída de compensado laminado duplo, com miolo de estrutura celular de formato hexagonal, espessura=35 mm, requadro de madeira maciça e reforço de madeira maciça nos dois montantes, 1 folha de abrir, incluso aduela 2A, alizar 2A e dobradiça - incluindo fornecimento e instalação</t>
  </si>
  <si>
    <t>JANELAS</t>
  </si>
  <si>
    <t>E.1 - Esquadria 685x184 cm alumínio anodizado, acabamento natural, com 3 folhas de correr e 3 folhas fixas com vidro liso incolor e= 6 mm, e a parte superior fixa com vidro liso incolor e = 4 mm; referência Alcoa. Fecho concha FEC1028 em alumínio anodizado natural; referência Alcoa. Conforme detalhe do projeto</t>
  </si>
  <si>
    <t>E.1B - Esquadria 685x184 cm alumínio anodizado, acabamento natural com 3 folhas de correr e 3 folhas fixas com vidro liso incolor e= 6 mm, e a parte superior fixa com vidro liso incolor e = 4 mm; referência Alcoa. Fecho concha FEC1028 em alumínio anodizado natural; referência Alcoa. Conforme detalhe do projeto</t>
  </si>
  <si>
    <t>E.1C - Esquadria 655x184 cm alumínio anodizado, acabamento natural com 3 folhas de correr e 3 folhas fixas com vidro liso incolor e= 6 mm, e a parte superior fixa com vidro liso incolor e = 4 mm; referência Alcoa, Linha Gold. Fecho concha FEC1028 em alumínio anodizado; referência Alcoa. Conforme detalhe do projeto</t>
  </si>
  <si>
    <t>E.1D - Esquadria 625x184 cm alumínio anodizado, acabamento natural com 3 folhas de correr e 3 folhas fixas com vidro liso incolor e= 6 mm, e a parte superior fixa com vidro liso incolor e = 4 mm; referência Alcoa, Linha Gold. Fecho concha FEC1028 em alumínio anodizado natural; referência Alcoa. Conforme detalhe do projeto</t>
  </si>
  <si>
    <t>E.2 - Esquadria 385x184 cm aluminio anodizado, acabamento natural com 2 folhas de correr e 2 folhas fixas com vidro liso incolor e= 6 mm, e a parte superior fixa com vidro liso incolor e = 4 mm; referência Alcoa, Linha Gold. Fecho concha FEC1028 em alumínio anodizado natural; referência Alcoa. Conforme detalhe do projeto</t>
  </si>
  <si>
    <t>E.3 - Esquadria 246x111 cm alumínio anodizado, acabamento natural, sistema de abertura máximo–ar, com estrutura compatível e montante seguindo a modulação do projeto. Fecho com delimitador de abertura em barra de alumínio quadrada, de seção 3/8”, e 37 cm de comprimento, com articulações metálicas. Guarnições com vidro e = 6 mm; referência Alcoa, Linha Gold. Conforme detalhe do projeto</t>
  </si>
  <si>
    <t>E.4 - Esquadria 60x60 cm alumínio anodizado, acabamento natural com vidro fixo mini-boreal e = 4 mm. Referência Alcoa, Linha Gold. Conforme detalhe do projeto</t>
  </si>
  <si>
    <t>FERRAGENS</t>
  </si>
  <si>
    <t>Conjunto de fechadura e espelho com maçaneta em alavanca, acabamento cromado; referência: 4600/70 – cód. 025661 inox polido - Aliança.</t>
  </si>
  <si>
    <t>Mola hidráulica aérea; referência: Dorma, código: TS 72, ou equivalente. Instalação na folha da porta do lado interno, conforme sentido de abertura indicado em planta.</t>
  </si>
  <si>
    <t>Fecho para porta instalado na face interna, referência Ketesi, código: KT 398.</t>
  </si>
  <si>
    <t>BRISE</t>
  </si>
  <si>
    <t>Brise fixo em perfil de Aluzinc com estrutura em perfis de alumínio extrudado; referência Luxalon Hunter Douglas, Linha Termobrise 150, cor anodizado claro, com painel móvel e espaçamento= 134 mm conforme detalhamento. Instalação dentro do vão e fixação com "porta-painel" conforme orientação do fabricante.</t>
  </si>
  <si>
    <t>Visor 20 x 90 cm em vidro liso incolor e= 4 mm, para porta tipo prancheta, 120x210 cm</t>
  </si>
  <si>
    <t>Pintura de rodapé - Pintura esmalte sintético acetinado, cor Vinho Chassis; referência Suvinil Esmalte Acetinado.</t>
  </si>
  <si>
    <t>Preparação para pintura em paredes, com fundo selador</t>
  </si>
  <si>
    <t>Pintura óleo/esmalte, 2 demãos em corrimão em tubo galvanizado</t>
  </si>
  <si>
    <t>Pintura esmalte em superfícies galvanizadas, inclusive fundo oxidante.</t>
  </si>
  <si>
    <t>Pintura de tubos aparentes de incêndio com tinta esmalte na cor vermelha, inclusive fundo oxidante</t>
  </si>
  <si>
    <t>Pintura das estruturas metálicas com tinta óleo/esmalte para estruturas metálicas na cor vinho chassi</t>
  </si>
  <si>
    <t>Remoção da cobertura existente</t>
  </si>
  <si>
    <t>Calhas em chapa de aço galvanizado nº. 16, desenvolvimento=0,85cm  (e=1,55mm). Para passarela. Incluindo fornecimento e instalação.</t>
  </si>
  <si>
    <t>Calhas em chapa de aço galvanizado nº. 16, desenvolvimento=1,40cm  (e=1,55mm). Para bloco de sanitários. Incluindo fornecimento e instalação.</t>
  </si>
  <si>
    <t>Calhas em chapa de aço galvanizado nº. 16, desenvolvimento=1,75cm  (e=1,55mm). Para edifício a ser reformado. Incluindo fornecimento e instalação.</t>
  </si>
  <si>
    <t>Rufo metálico padrão para telha trapezoidal, 46 peças; referência: Alcoflon Trapezoidal acabamento na cor cinza platina RAL 7035 ou equivalente. Incluindo fornecimento e instalação.</t>
  </si>
  <si>
    <t>Platibanda em chapa de aço galvanizado ch18 (e= 1,2 mm). Incluindo fornecimento e instalação.</t>
  </si>
  <si>
    <t>Grelha metálica com forma cilíndrica ou quadrada, de tela de aço inoxidável, fio # 14, no mínimo, malha de 15 mm, com altura mínima de 40% da profundidade máxima da calha, para funcionar, também, como extravasor. A dimensão da base da grelha será sempre maior que o diâmetro da boca de saída do ralo e será apenas encaixado no rebaixo deixado na proteção mecânica.</t>
  </si>
  <si>
    <t>un</t>
  </si>
  <si>
    <t>Fechamento lateral da cobertura da passarela com chapa de policarbonato alveolar transparente, e=6mm, referência day brasil, linha lexan thermoclear alveolar ou equivalente. Fixação interna com parafusos, de acordo com orientação do fabricante.</t>
  </si>
  <si>
    <t>REVESTIMENTO DE PISO</t>
  </si>
  <si>
    <t xml:space="preserve">Soleira em granito cinza andorinha, acabamento polido, e= 15 mm e largura igual a das bonecas das portas, assentada sobre argamassa de cimento e areia traço 1:3 sarrafeada ou desempenada com argamassa colante tipo AC-III segundo norma NBR- 14081; referência Weber.col Mármores e Granitos Interno Quartzolit ou equivalente. </t>
  </si>
  <si>
    <t>Piso em mármore recuperado através de polimento em sucessivas passagens de politriz com lixa para mármores; referência Norton Durite G422. Acabamento com resina epóxi; referência Suvinil Resina Epóxi. Para escadas da circulação interna.</t>
  </si>
  <si>
    <t xml:space="preserve">Piso revestido com laminado vinílico semi flexível em placas de 30 cm x 30 cm e espessura de 2 mm; referência Tarkett Fademac, piso Paviflex, Croma Concept, e=2 mm, especificação: 
912 – Silver ou equivalente. </t>
  </si>
  <si>
    <t>Assentamento de piso cerâmico PEI5, atomizado, 33,5x33,5cm, na cor cinza claro; referência Cargo Plus Gray- Eliane, assentado com argamassa colante impermeável com 4 mm de espessura; referência Cimentcola Impermeável Quartzolit ou equivalente e massa de rejunte com 3 mm de espessura na cor gelo; referência Rejuntamento Flexível Quartzolit cor gelo ou equivalente.</t>
  </si>
  <si>
    <t>Contrapiso desempenado, com argamassa 1:3, sem junta E = 2 cm.</t>
  </si>
  <si>
    <t>Rodapé de granito h= 7 cm cinza andorinha; para a copa</t>
  </si>
  <si>
    <t xml:space="preserve">Faixa antiderrapante nos degraus da escada </t>
  </si>
  <si>
    <t xml:space="preserve">Sinalização tátil de alerta em resina de PVC sobreposto ao piso dim: 250 mm x 250 mm; referência: Arco Sinalização Universal ou equivalente. Cor Preta </t>
  </si>
  <si>
    <t xml:space="preserve">Sinalização tátil direcional em resina de PVC sobreposto ao piso dim: 250 mm x 250 mm; referência: Arco Sinalização Universal ou equivalente. Cor Preta </t>
  </si>
  <si>
    <t>REVESTIMENTO DE TETO</t>
  </si>
  <si>
    <t>Sanca de gesso, altura 30 cm, moldada na obra</t>
  </si>
  <si>
    <t xml:space="preserve">m </t>
  </si>
  <si>
    <t xml:space="preserve">REVESTIMENTO DE PAREDE </t>
  </si>
  <si>
    <t>Emboço da alvenaria em tijolo cerâmico de 8 furos (9 x 19 x 29 cm)</t>
  </si>
  <si>
    <t>Emassamento das paredes com massa látex PVA para ambientes internos, com duas demãos</t>
  </si>
  <si>
    <t>Revestimento com azulejo branco 20x20 referência Eliane - Linha Forma Slim branco BR MQ ou equivalente, com, junta a prumo, assentamento com argamassa pré-fabricada, inclusive rejuntamento - na cor branca; referência Quartzolit Colorflex  branco ou equivalente.</t>
  </si>
  <si>
    <t>Revestimento com granito cinza andorinha e = 2 cm</t>
  </si>
  <si>
    <t>Quadro de distribuição para 12 módulos com barramento e chave, fornecimento e instalação</t>
  </si>
  <si>
    <t>Quadro de distribuição para 24 módulos com barramento e chave, fornecimento e instalação</t>
  </si>
  <si>
    <t>Disjuntor monopolar termomagnético 5 KA, de 16A, fornecimento e instalação</t>
  </si>
  <si>
    <t>Disjuntor bipolar termomagnético 5 KA, de 25A, fornecimento e instalação</t>
  </si>
  <si>
    <t>Disjuntor tripolar termomagnético 10 KA, de 35A, fornecimento e instalação</t>
  </si>
  <si>
    <t>Disjuntor tripolar termomagnético 10 KA, de 40A, fornecimento e instalação</t>
  </si>
  <si>
    <t>Disj. Tripolar termomagnetico em caixa moldada (DIN 225A), fornecimento e instalação</t>
  </si>
  <si>
    <t>Supressor de surto para proteção primária em QGD (VCL 275V 12,5/60KA SLIM), fornecimento e instalação</t>
  </si>
  <si>
    <t>Supressor de surto para proteção primária em QGD (VCL 275V 200KA SLIM), fornecimento e instalação</t>
  </si>
  <si>
    <t>Eletrocalha perfurada galvanizada eletrolítica chapa 14 - 300x100mm com tampa, inclusive conexão, fornecimento e instalação</t>
  </si>
  <si>
    <t>Eletrocalha perfurada galvanizada eletrolítica chapa 14 -  150x100mm com tampa, inclusive conexão, fornecimento e instalação</t>
  </si>
  <si>
    <t>Perfilado perfurado em chapa de aço 38x38mm, fornecimento e instalação</t>
  </si>
  <si>
    <t>Eletroduto PVC rigido cinza, rosca, inclusive conexões 25mm, fornecimento e instalação</t>
  </si>
  <si>
    <t>Eletroduto PVC rigido cinza rosca, inclusive conexões 32mm, fornecimento e instalação</t>
  </si>
  <si>
    <t>Eletroduto PVC rigido cinza rosca, inclusive conexões 40mm, fornecimento e instalação</t>
  </si>
  <si>
    <t>Eletroduto PVC rigido cinza rosca inclusive conexões 85mm, fornecimento e instalação</t>
  </si>
  <si>
    <t>Suporte em chapa de aço para perfilado, fornecimento e instalação</t>
  </si>
  <si>
    <t>Caixa de ligação de PVC rígido para eletroduto roscável, quadrada, fornecimento e instalação</t>
  </si>
  <si>
    <t>Caixa de passagem 202x202x102 mm, fornecimento e instalação</t>
  </si>
  <si>
    <t>Caixa de passagem 302x302x122 mm, fornecimento e instalação</t>
  </si>
  <si>
    <t>Caixa de passagem para piso, metálica, tampa antiderrapante, 100x100x60 cm (caixa padrão CEMIG ZB), fornecimento e instalação</t>
  </si>
  <si>
    <t>Conjunto tampa e interruptor simpes para condulete 3/4", fornecimento e instalação</t>
  </si>
  <si>
    <t>Conjunto de tampa com 1 interruptor simples + 1 tomada para condulete 3/4", fornecimento e instalação</t>
  </si>
  <si>
    <t>Conjunto tampa e 1 tomada 2P universal para condulete 3/4"Interruptor 2 tecla simples, fornecimento e instalação</t>
  </si>
  <si>
    <t>Conjunto tampa e interruptor (Interruptor ventilador), fornecimento e instalação</t>
  </si>
  <si>
    <t>Condulete PVC com rosca - Tipo C, fornecimento e instalação</t>
  </si>
  <si>
    <t>Condulete PVC com rosca - Tipo E, fornecimento e instalação</t>
  </si>
  <si>
    <t>Condulete PVC com rosca - Tipo LB, fornecimento e instalação</t>
  </si>
  <si>
    <t>Derivação lateral para eletroduto em chapa de aço para perfilado ∅1", fornecimento e instalação</t>
  </si>
  <si>
    <t>Derivação lateral para eletroduto em chapa de aço com lateral dupla para perfilado ∅1", fornecimento e instalação</t>
  </si>
  <si>
    <t>Luminária tubular continua para lâmpada fluorescente 2x32 W, completa, fornecimento e instalação, incluso reator eletrônico para lâmpadas</t>
  </si>
  <si>
    <t>Luminária de emergência 8 W, fornecimento e instalação</t>
  </si>
  <si>
    <t>Luminária tipo tartaruga para lâmpada incandescente de 60W, fornecimento e instalação</t>
  </si>
  <si>
    <t>Cabo cobre nu # 50 mm² inclusive suporte, fornecimento e instalação</t>
  </si>
  <si>
    <t>Cabo cobre nu # 35 mm² inclusive suporte, fornecimento e instalação</t>
  </si>
  <si>
    <t>Cabo cobre nu # 16 mm² inclusive suporte, fornecimento e instalação</t>
  </si>
  <si>
    <t>Aterramento completo para pára-raios, com hastes de cobre com alma de aço tipo "copperweld", fornecimento e instalação</t>
  </si>
  <si>
    <t>Conector Mini-Gar</t>
  </si>
  <si>
    <t>Solda exotérmica molde SCI-50-3, fornecimento e instalação</t>
  </si>
  <si>
    <t>Terminal aéreo H = 25 cm, D = 3/8", fornecimento e instalação</t>
  </si>
  <si>
    <t>Cabo telefônico CI 50-30, fornecimento e instalação</t>
  </si>
  <si>
    <t>Cabo telefônico CI 50-50, fornecimento e instalação</t>
  </si>
  <si>
    <t>Cabo telefônico CI 50-10, fornecimento e instalação</t>
  </si>
  <si>
    <t>Eletrocalha lisa galvanizada eletrolítica chapa 14-300x100 mm com tampa, inclusive conexões, fornecimento e instalação</t>
  </si>
  <si>
    <t>Eletrocalha lisa galvanizada eletrolítica chapa 14-200x100 mm com tampa, inclusive conexões, fornecimento e instalação</t>
  </si>
  <si>
    <t>Eletrocalha lisa galvanizada eletrolítica chapa 14-150x100 mm com tampa, inclusive conexões, fornecimento e instalação</t>
  </si>
  <si>
    <t>Eletroduto PVC rígido, rosca, inclusive conexões D= 1" (25 mm), fornecimento e instalação</t>
  </si>
  <si>
    <t>Eletroduto PVC rígido, rosca, inclusive conexões D= 1 1/4" (32 mm), fornecimento e instalação</t>
  </si>
  <si>
    <t>Eletroduto PVC rígido, rosca, inclusive conexões D= 1 1/2" (40 mm), fornecimento e instalação</t>
  </si>
  <si>
    <t>Conjunto de tomada para telefone RJ 45 sem placa para caixa condulete 3/4", fornecimento e instalação</t>
  </si>
  <si>
    <t>Condulete tipo C em alumínio para eletroduto roscado D=2", fornecimento e instalação</t>
  </si>
  <si>
    <t>Condulete tipo E em alumínio para eletroduto roscado D=2", fornecimento e instalação</t>
  </si>
  <si>
    <t>Condulete tipo LR em alumínio para eletroduto roscado D=1", fornecimento e instalação</t>
  </si>
  <si>
    <t>Caixa de passagem em chapa de aço com tampa aparafusada, sobrepor, 202 x 202 x 102 mm, fornecimento e instalação</t>
  </si>
  <si>
    <t>Caixa de passagem em chapa de aço com tampa aparafusada, sobrepor, 302 x 302 x 102 mm, fornecimento e instalação</t>
  </si>
  <si>
    <t>Cabo UTP 4 pares categoria 6 com revestimento externo não propagante a chama, fornecimento e instalação</t>
  </si>
  <si>
    <t>Patch panel 24 posições, categoria com guia traseiro, fornecimento e instalação</t>
  </si>
  <si>
    <t>Caixa subterrânea de entrada telefônica tipo R1, 60x35x50 cm, fornecimento e instalação</t>
  </si>
  <si>
    <t>Caixa de distribuição geral ou derivação DG Nº4, fornecimento e instalação</t>
  </si>
  <si>
    <t>Placa em alumínio fundido para condulete múltiplo com 2 tomadas RJ45</t>
  </si>
  <si>
    <t>Régua com 3 tomadas para instalação em Rack</t>
  </si>
  <si>
    <t>Patch Cord RJ45/RJ45 UTP-4P metálico categoria 6, pinagem T568A na cor azul (voz), comprimento 3 metros</t>
  </si>
  <si>
    <t>Conversor de Mídia ST/RJ-45</t>
  </si>
  <si>
    <t>DIO Gerenciável 8x8 LC Duplex</t>
  </si>
  <si>
    <t>Bandeja com sistema de ventilação 19"</t>
  </si>
  <si>
    <t>Caixa de gordura DN 100, fornecimento e instalação</t>
  </si>
  <si>
    <t>Torneira de pia de cozinha 25 mm - 1/2", fornecimento e instalação</t>
  </si>
  <si>
    <t>Registro de gaveta c/ canopla cromada 3/4", fornecimento e instalação</t>
  </si>
  <si>
    <t>Joelho de redução 90º soldável com bucha de latão 1/2" - 25 mm, fornecimento e instalação</t>
  </si>
  <si>
    <t>Caixa de areia pluvial com grelha CAG - 60x60 cm, fornecimento e instalação</t>
  </si>
  <si>
    <t>Caixa sifonada 100x100x50, fornecimento e instalação</t>
  </si>
  <si>
    <t>Sifão de copo para pia e lavatório 1" - 1.1/2", fornecimento e instalação</t>
  </si>
  <si>
    <t>Caixa D'água de Polietileno 2000 (dois mil litros)</t>
  </si>
  <si>
    <t>Registro globo 45  diâmetro 63mm para hidrantes de incêndio.</t>
  </si>
  <si>
    <t>Mangueira de fibra sintética ou vegetal , com revestimento interno de borracha empatada, com juntas de união de engate rápido  (STORZ), diâmetro 38mm, lance de 15m, Tipo 2.</t>
  </si>
  <si>
    <t>Extintor de incêndio, tipo água pressurizada (AP), capacidade extintora 2-A, volume: 10 litros</t>
  </si>
  <si>
    <t>Eletrobomba Trifásica 7,5CV THEBE, vazão 511,92L/min., 40mca.</t>
  </si>
  <si>
    <t>Quadro com partida direta 7,5CV trifásico.</t>
  </si>
  <si>
    <t>Manômetro com escala de leitura 0-100 PSI / Mostrador 50mm-Famabras.</t>
  </si>
  <si>
    <t>Pressostato Alco, regulagem de 0 à 10 BAR.</t>
  </si>
  <si>
    <t>Cilindro de pressão ou mola pneumática de diâmetro 150 mm, comprimento de 1.20 m com garras para fixação na parede</t>
  </si>
  <si>
    <t>ALARME MANUAL DE INCÊNDIO:</t>
  </si>
  <si>
    <t>Alarme com avisador sonoro e visual, com acionador manual do sistema de alarme</t>
  </si>
  <si>
    <t>Sirene para alarme de bomba em funcionamento</t>
  </si>
  <si>
    <t>PLACAS DE SINALIZAÇÃO DE EMERGÊNCIA:</t>
  </si>
  <si>
    <t>Placa fotoluminescente "E5" - 300x300 mm</t>
  </si>
  <si>
    <t>Placa fotoluminescente "E8" - 300x300 mm</t>
  </si>
  <si>
    <t>Placa fotoluminescente "S3" e "S8" - 380x190 mm</t>
  </si>
  <si>
    <t>VÁLVULAS:</t>
  </si>
  <si>
    <t>Válvulas de retenção horizontal, tipo portinhola, diâmetro 63mm, Docol.</t>
  </si>
  <si>
    <t>Válvula de registro de gaveta, diâmetro= 25 mm (1").</t>
  </si>
  <si>
    <t>TUBULAÇÂO:</t>
  </si>
  <si>
    <t>CONEXÕES DE FERRO MALEÁVEL, classe 10, ROSQUEADAS:</t>
  </si>
  <si>
    <t>Flange 3 pol. p/caixa dágua.</t>
  </si>
  <si>
    <t>Alambrado em Painéis Galvanizados altura=1,03m e largura =2,50m, fios horizontais e verticais diâmetro= 5,00mm, revestidos com poliéster através de pintura eletrostática, 100 micras para pintura/ simples 200micras para pintura dupla na cor preta. Postes Galvanizados dim. 40x60mm em chapa e=1,55mm, gramatura mínima de zinco 275m/m² revestidos através de pintura eletrostática, 80 micras para pintura simples e 120 micras para pintura dupla na cor verde, Ref. Nylofor 3D Belgo Bekaert Arames ou equivalente. (incluso ferragens: dobradiças, trinco)</t>
  </si>
  <si>
    <t>Base de concreto para assentamento do alambrado</t>
  </si>
  <si>
    <t>Torneira de Mesa para Lavatório Pressmatic 110, com acionamento hidromecânico, acabamento cromado, Ø ½”; referência Docol Matic Pressmatic código 17160806 ou equivalente.</t>
  </si>
  <si>
    <t>Torneira de Bancada, com saída lateral e acabamento cromado, Linha Pratika Ref.: 1167-p da fabrimar ou equivalente. Para Copa.</t>
  </si>
  <si>
    <t>Cuba Retangular Bl Standard Aço Inox Polido dimensões: 340x400x140mm, com grade aramada para cuba. Ref. 94081506 Tramontina ou equivalente.</t>
  </si>
  <si>
    <t>Armário com duas Portas de abrir com prateleira interna e cinco gavetas, conforme detalhamento em Projeto. Armário MDF Branco e=18mm , ref. Duratex ou equivalente. Puxadores em Aço escovado ref. Italy Line A078; Parafusos Chip board; Corrediças telescópicas ref.: Hettich; Dobradiças com sistema de descanso ref. Ferrari.</t>
  </si>
  <si>
    <t>Bancada com estrutura em perfil de metalon, seção 50x30mm; acabamento com tinta esmalte sintético fosco; referência Suvinil Esmalte Sintético Fosco cor branca ou equivalente sobre fundo anticorrosivo e antioxidante; referência Suvinil Zarcão ou equivalente. Tampo da bancada em cinza andorinha, acabamento polido, esp.=20 mm.Para pia da copa.</t>
  </si>
  <si>
    <t>Rodabancada em granito cinza andorinha, acabamento polido, e= 20 mm, h=10 cm, rebaixo de 10x10mm para assentamento do azulejo e vedação com silicone. Testeira em granito cinza andorinha, h=6 cm, e=20 mm, acabamento polido. Para pia da copa</t>
  </si>
  <si>
    <t>Bancada B1 – Bancada com estrutura em perfil de metalon, seção 50x30mm, acabamento com Tinta esmalte sintético fosco cor branca, ref. Suvinil Esmalte sintético fosco ou equivalente, sobre fundo anticorrosivo e antioxidante; referência Suvinil Zarcão ou equivalente. Tampo h=75cm dimensão 215x70cm constituído de superfície integrada, confeccionada em MDF espessura =20mm com revestimento em Laminado Melamínico, acabamento liso na cor branca aplicado na face superior, ref. L120 MP Fórmica ou equivalente. Bordas frontais arredondadas em PVC com superfície de curvatura a 180° e demais encabeçamentos em fita de PVC reto na mesma cor do Laminado Melamínico. Nivelador de piso oitavado em Nylon, reforçado com fibra de vidro e eixo central com parafuso M8x60, zincado preto. Suporte dos niveladores em chapa de aço ABNT – 1010/1020, com 3mm de espessura na cor preto fosco. Para Centro de Processamento.</t>
  </si>
  <si>
    <t>Bancada B2 – Bancada com estrutura em perfil de metalon, seção 50x30mm, acabamento com Tinta esmalte sintético fosco cor branca, ref. Suvinil Esmalte sintético fosco ou equivalente, sobre fundo anticorrosivo e antioxidante; referência Suvinil Zarcão ou equivalente. Tampo h=75cm dimensão 320x70cm constituído de superfície integrada, confeccionada em MDF espessura =20mm com revestimento em Laminado Melamínico, acabamento liso na cor branca aplicado na face superior, ref. L120 MP Fórmica ou equivalente. Bordas frontais arredondadas em PVC com superfície de curvatura a 180° e demais encabeçamentos em fita de PVC reto na mesma cor do Laminado Melamínico. Nivelador de piso oitavado em Nylon, reforçado com fibra de vidro e eixo central com parafuso M8x60, zincado preto. Suporte dos niveladores em chapa de aço ABNT – 1010/1020, com 3mm de espessura na cor preto fosco. Para Laboratórios de Pesquisa.</t>
  </si>
  <si>
    <t>Peitoril em granito cinza andorinha, e= 2 mm, acabamento polido com inclinação de 2% para o exterior e pingadeira de 1cm de raio. Conforme detalhado no projeto.  Para todas as esquadrias.</t>
  </si>
  <si>
    <t>Dispenser para papel higiênico em rolão em ABS: baixa densidade e alta resistência, dimensões 36 x 24/25,8 cm, capacidade 600 m; referência Columbus 99.1020 ou equivalente. Para sanitários e Sanitários P.N.E.</t>
  </si>
  <si>
    <t>Toalheiro de parede para toalhas de papel intercaladas, cor branca; referência Columbus 99.1013 ou equivalente. Para sanitários e Sanitários P.N.E.</t>
  </si>
  <si>
    <t>Dispenser para sabonete líquido plástico tipo ABS, dimensões 28,0 x 12,/12,5 cm; referência A 16007- Água Viva ou equivalente. Para sanitários e Sanitários P.N.E.</t>
  </si>
  <si>
    <t>Escavação manual de valas H &lt;= 1,50 M</t>
  </si>
  <si>
    <t>Reaterro compactado de vala com equipamento placa vibratória</t>
  </si>
  <si>
    <t>Transporte de material de qualquer natureza em caminhão DMt &gt; 5 km (dentro do perímetro urbano)</t>
  </si>
  <si>
    <t>M³xKm</t>
  </si>
  <si>
    <t>Carga de material de qualquer natureza sobre caminhão - mecânica</t>
  </si>
  <si>
    <t>M³</t>
  </si>
  <si>
    <t>CASA DE BOMBA</t>
  </si>
  <si>
    <t>MATERIAL ESPECÍFICO</t>
  </si>
  <si>
    <t>Ventilador modelo MAX200 + caixa de filtro FIL BOX QUAD 200. Ref. Sicflux</t>
  </si>
  <si>
    <t>Ventilador modelo MAX150 + caixa de filtro FIL BOX QUAD 150. Ref. Sicflux</t>
  </si>
  <si>
    <t>Grelha para insuflamento modelo AT-DG, 425x165mm. Ref. Trox</t>
  </si>
  <si>
    <t>Grelha para insuflamento modelo AT-DG, 325x165mm. Ref. Trox</t>
  </si>
  <si>
    <t>Veneziana modelo AWK, 297x197mm. Ref. Trox</t>
  </si>
  <si>
    <t>Quadro elétrico de proteção dos splits UE-03/04/05/06/07/08, energia em 220V/3Ø+T/60Hz, potencia 17,0kVA, inclusive encaminhamento elétrico</t>
  </si>
  <si>
    <t>Quadro elétrico de proteção dos splits UE-01/02, energia em 220V/2Ø+T/60Hz, potencia 4,0kVA, inclusive encaminhamento elétrico</t>
  </si>
  <si>
    <t>Quadro elétrico de proteção e comando dos ventiladoresVI-01/02/03, energia em 220V/2Ø+T/60Hz, potencia 45W, inclusive encaminhamento elétrico</t>
  </si>
  <si>
    <t>Eletroduto galvanizado leve, incluindo conexões 1 1/4''</t>
  </si>
  <si>
    <t>Eletroduto galvanizado leve, incluindo conexões 1 1/2''</t>
  </si>
  <si>
    <t>Eletroduto galvanizado leve, incluindo conexões 1''</t>
  </si>
  <si>
    <t>Eletroduto galvanizado leve, incluindo conexões 3/4''</t>
  </si>
  <si>
    <t>Condutor  de cobre com isolamento termoplástico para 750V, 4mm²</t>
  </si>
  <si>
    <t>Condutor  de cobre com isolamento termoplástico para 750V, 1,5mm²</t>
  </si>
  <si>
    <t>Duto flexivel D=150 mm</t>
  </si>
  <si>
    <t>Veneziana autofechante 187x187 mm. Ref MULTIVAC</t>
  </si>
  <si>
    <t>Ponto de força para o VE-01, acionado pelo interruptor do sanitário energia em 220V/2Ø+T/60Hz, potencia 25W.</t>
  </si>
  <si>
    <t>CORRIMÃO E GUARDA CORPO</t>
  </si>
  <si>
    <t>OUTROS ITENS</t>
  </si>
  <si>
    <t>PERÍODO DE EXECUÇÃO (180 DIAS)</t>
  </si>
  <si>
    <t>60-90 DIAS</t>
  </si>
  <si>
    <t>90-120 DIAS</t>
  </si>
  <si>
    <t>120-150 DIAS</t>
  </si>
  <si>
    <t>150-180 DIAS</t>
  </si>
  <si>
    <t>Técnico de Segurança</t>
  </si>
  <si>
    <t>Engenheiro Mecânico</t>
  </si>
  <si>
    <t>CCT 2017/2018</t>
  </si>
  <si>
    <t>OUTROS</t>
  </si>
  <si>
    <t>Barracão de obra para Refeitório, Almoxarifado e Ferramentaria, piso em madeira de 3A, paredes em compensado 10mm, cobertura em telha fibrocimento 6mm, incluso instalações elétricas, esquadrias com todas as ferragens e pintura em duas demãos de caiação branca</t>
  </si>
  <si>
    <t>Demolição de alvenaria de tijolos maciços sem reaproveitamento</t>
  </si>
  <si>
    <t xml:space="preserve">Montagem e desmontagem de andaime modular fachadeiro, com piso metálico, para edificações com múltiplos pavimentos (exclusive andaime e limpeza). </t>
  </si>
  <si>
    <t>Locação de andaime metalico tipo fachadeiro, largura de 1,20 m, altura por peca de 2,0 m, incluindo sapatas e itens necessarios a instalacao</t>
  </si>
  <si>
    <t>m²/mês</t>
  </si>
  <si>
    <t>Chapisco da alvenaria em tijolo cerâmico de 8 furos (9 x 19 x 29 cm)</t>
  </si>
  <si>
    <t>Carpinteiro</t>
  </si>
  <si>
    <t>Ajudante</t>
  </si>
  <si>
    <t>Vidro liso incolor e=4mm</t>
  </si>
  <si>
    <t>Pintura com tinta acrílica, cor pérola, acabamento acetinado; referência Suvinil Acrílico Premium Acetinado, duas demãos. Para a fachada oeste/lateral</t>
  </si>
  <si>
    <t>Pintura com tinta acrílica na cor pérola. Para as paredes de tijolinho aparente das fachadas existentes e para as fachadas rebocadas, duas demãos. Ref. Suvinil Acrílico Premium.</t>
  </si>
  <si>
    <t>Pintura com tinta acrílica acetinado na cor concreto. Ref. Suvinil Acrílico Premium. Para a estrutura aparente na fachada (pilares vigas e a laje que avança), duas demãos.</t>
  </si>
  <si>
    <t>Pintura das paredes com tinta acrílica (acima de 135 cm), cor branco gelo, acabamento acetinado; referência Suvinil Acrílico Premium Acetinado ou equivalente, duas demãos</t>
  </si>
  <si>
    <t>Pintura das paredes com tinta esmalte sintético, cor branco gelo, acabamento acetinado até a altura de 135 cm; referência Suvinil Esmalte Acetinado ou equivalente, duas demãos</t>
  </si>
  <si>
    <t>Pintura de teto com tinta látex, cor branco neve; referência Suvinil Látex Maxx ou equivalente, duas demãos</t>
  </si>
  <si>
    <t>PIN-LAT-020</t>
  </si>
  <si>
    <t>Adaptador tipo rosca 5 fios, engate rápido (STORZ), diâmetro 63x38mm</t>
  </si>
  <si>
    <t>Caixa de equalização de embutir com saidas nas partes superior e infferior para eletroduto de 25mm (1"), 20 x 20 x 14 mm, com nove terminais, fornecimento e instalação</t>
  </si>
  <si>
    <t>Presilha para cabo de cobre seção transversal 70 mm², fornecimento e instalação</t>
  </si>
  <si>
    <t>Proteção da cordoalha do pára-raio com tubo de pvc rígido, ø 50 mm (2"), comprimento 3,00 m, fornecimento e instalação</t>
  </si>
  <si>
    <t>Terminal a compressao em cobre estanhado para cabo 35 mm², fornecimento e instalação</t>
  </si>
  <si>
    <t>Vergalhão de aço com rosca total para perfilado D=1/4", fornecimento e instalação</t>
  </si>
  <si>
    <t>Caixa d'água de Polietileno 2000 (dois mil litros), fornecimento e instalação</t>
  </si>
  <si>
    <t>Esguicho tipo agulheta, junta de união de engate rápido (STORZ) diâmetro 38mm com requinte de diâmetro de 13mm.</t>
  </si>
  <si>
    <t>2.1</t>
  </si>
  <si>
    <t>2.2</t>
  </si>
  <si>
    <t>2.3</t>
  </si>
  <si>
    <t>2.4</t>
  </si>
  <si>
    <t>2.5</t>
  </si>
  <si>
    <t>2.6</t>
  </si>
  <si>
    <t>1.1</t>
  </si>
  <si>
    <t>1.2</t>
  </si>
  <si>
    <t>1.3</t>
  </si>
  <si>
    <t>1.4</t>
  </si>
  <si>
    <t>3.1</t>
  </si>
  <si>
    <t>3.2</t>
  </si>
  <si>
    <t>3.3</t>
  </si>
  <si>
    <t>5.1</t>
  </si>
  <si>
    <t>5.2</t>
  </si>
  <si>
    <t>5.3</t>
  </si>
  <si>
    <t>6.1</t>
  </si>
  <si>
    <t>6.2</t>
  </si>
  <si>
    <t>6.3</t>
  </si>
  <si>
    <t>10.1</t>
  </si>
  <si>
    <t>10.2</t>
  </si>
  <si>
    <t>10.3</t>
  </si>
  <si>
    <t>15.1</t>
  </si>
  <si>
    <t>15.2</t>
  </si>
  <si>
    <t>15.3</t>
  </si>
  <si>
    <t>15.4</t>
  </si>
  <si>
    <t>15.5</t>
  </si>
  <si>
    <t>15.6</t>
  </si>
  <si>
    <t>15.7</t>
  </si>
  <si>
    <t>17.1</t>
  </si>
  <si>
    <t>Pino de aco com arruela conica, diametro arruela = *23* mm e comp haste = *27* mm (acao indireta)</t>
  </si>
  <si>
    <t>Chapa de gesso acartonado, standard (st), cor branca, e = 12,5 mm, 1200 x 2400 mm (l x c)</t>
  </si>
  <si>
    <t>Perfil guia, formato u, em aco zincado, para estrutura parede drywall, e = 0,5 mm, 70 x 3000 mm (l x c)</t>
  </si>
  <si>
    <t>Perfil montante, formato c, em aco zincado, para estrutura parede drywall, e = 0,5 mm, 70 x 3000 mm (l x c)</t>
  </si>
  <si>
    <t>Fita de papel microperfurado, 50 x 150 mm, para tratamento de juntas de chapa de gesso para drywall</t>
  </si>
  <si>
    <t>Fita de papel reforcada com lamina de metal para reforco de cantos de chapa de gesso para drywall</t>
  </si>
  <si>
    <t>Massa de rejunte em po para drywall, a base de gesso, secagem rapida, para tratamento de juntas de chapa de gesso (com adicao de agua)</t>
  </si>
  <si>
    <t>Parafuso dry wall, em aco fosfatizado, cabeca trombeta e ponta agulha (ta), comprimento 25 mm</t>
  </si>
  <si>
    <t>Parafuso dry wall, em aco zincado, cabeca lentilha e ponta broca (lb), largura 4,2 mm, comprimento 13 mm</t>
  </si>
  <si>
    <t xml:space="preserve">Montador de estrutura metálica </t>
  </si>
  <si>
    <t>Servente</t>
  </si>
  <si>
    <t>Pedreiro</t>
  </si>
  <si>
    <t>Serralheiro</t>
  </si>
  <si>
    <t>Guarnicao/ alizar/ vista macica, e= *1* cm, l= *4,5* cm, em cedrinho/ angelim/comercial/ eucalipto/ curupixa/ peroba/ cumaru ou equivalente da regiao</t>
  </si>
  <si>
    <t>calha platibanda de chapa de aco galvanizada num 26, corte 45 cm</t>
  </si>
  <si>
    <t>CHP</t>
  </si>
  <si>
    <t>CHI</t>
  </si>
  <si>
    <t>310ml</t>
  </si>
  <si>
    <t>Telhadista</t>
  </si>
  <si>
    <t>selante elastico monocomponente a base de poliuretano para juntas diversas</t>
  </si>
  <si>
    <t>prego de aco polido com cabeca 18 x 27 (2 1/2 x 10)</t>
  </si>
  <si>
    <t>solda em barra de estanho-chumbo 50/50</t>
  </si>
  <si>
    <t>guincho elétrico de coluna, capacidade 400 kg, com moto freio, motor trifásico de 1,25 cv - CHI diurno</t>
  </si>
  <si>
    <t>guincho elétrico de coluna, capacidade 400 kg, com moto freio, motor trifásico de 1,25 cv - CHP diurno</t>
  </si>
  <si>
    <t>Emassamento do teto com massa látex PVA para ambientes internos, com duas demãos, inclusive lixamento</t>
  </si>
  <si>
    <t>arame galvanizado 18 bwg, 1,24mm (0,009 kg/m)</t>
  </si>
  <si>
    <t>gesso em po para revestimentos/molduras/sancas</t>
  </si>
  <si>
    <t>placa de gesso para forro, de  *60 x 60* cm e espessura de 12 mm (30 mm nas bordas) sem colocacao</t>
  </si>
  <si>
    <t>prego de aco polido com cabeca 12 x 12</t>
  </si>
  <si>
    <t>sisal em fibra</t>
  </si>
  <si>
    <t>parafuso zincado, autobrocante, flangeado, 4,2 x 19"</t>
  </si>
  <si>
    <t>Gesseiro</t>
  </si>
  <si>
    <t>cento</t>
  </si>
  <si>
    <t>Resina epóxi; referência Suvinil Resina Epóxi</t>
  </si>
  <si>
    <t>Encanador ou bombeiro</t>
  </si>
  <si>
    <t>Flange 3 pol. p/caixa dágua  - fornecimento e instalação</t>
  </si>
  <si>
    <t>Fita veda rosca em rolos de 18 mm x 10 m (l x c)</t>
  </si>
  <si>
    <t>Encanador</t>
  </si>
  <si>
    <t>Auxiliar de encanador</t>
  </si>
  <si>
    <t>Caixa D'água de Polietileno 2000</t>
  </si>
  <si>
    <t>QUANT</t>
  </si>
  <si>
    <t>Eletricista</t>
  </si>
  <si>
    <t>Cimento portland composto CP II-32</t>
  </si>
  <si>
    <t>M</t>
  </si>
  <si>
    <t>Bebedouro elétrico 110V, para adulto e criança, tampo em aço inoxidável acabamento polido, equipado com torneira para copo e absorção direta, capacidade 40 l; Ref. Marca Libell, Modelo: pressão conjugado inox.</t>
  </si>
  <si>
    <t>Massa plástica para mármore/granito</t>
  </si>
  <si>
    <t>Marmorista/graniteiro</t>
  </si>
  <si>
    <t>Cuba Retangular Bl Standard Aço Inox Polido dimensões: 340x400x140mm, com grade aramada para cuba. Ref. 94081506 Tramontina</t>
  </si>
  <si>
    <t xml:space="preserve">Guarda-corpo das escadas de aço galvanizado ø 2", e tubo intermediários de aço galvanizado ø 1 1/4" com espaçamento máximo 150 mm, fixado sobre flange de aço galvanizado ø 4" e espessura 3/8" (38,101 x 9,525 mm) fixada com quatro parabolts ø 1/2'', e corrimão em tubo de aço galvanizado ø 1 ½ " soldado ,conforme detalhamento. </t>
  </si>
  <si>
    <t xml:space="preserve">Corrimão das escadas de aço galvanizado ø 1 ½ ", fixado na alvenaria sobre flange de aço galvanizado ø 4" e espessura 3/8" (38,101 x 9,525 mm) fixada com quatro parabolts ø 1/2''. </t>
  </si>
  <si>
    <t>argamassa de cimento e areia sem peneirar traço 1:3</t>
  </si>
  <si>
    <t>MDF 20mm</t>
  </si>
  <si>
    <t>Laminado melanímico</t>
  </si>
  <si>
    <t>cola a base de resina sintetica para chapa de laminado melaminico</t>
  </si>
  <si>
    <t>Pintura a oleo brilhante sobre superficie metalica, uma demao incluso uma demao de fundo anticorrosivo</t>
  </si>
  <si>
    <t>Perfil metalon 50 X 30 mm</t>
  </si>
  <si>
    <t>Fita PVC para borda</t>
  </si>
  <si>
    <t>Nivelador de piso oitavado em Nylon, reforçado com fibra de vidro e eixo central com parafuso M8x60, zincado preto</t>
  </si>
  <si>
    <t>l</t>
  </si>
  <si>
    <t>Graniteiro</t>
  </si>
  <si>
    <t>Limpeza e polimento de piso marmorite</t>
  </si>
  <si>
    <t>Fecho concha FEC1028 em alumínio anodizado natural; referência Alcoa</t>
  </si>
  <si>
    <t>Fecho com delimitador de abertura em barra de alumínio quadrada, de seção 3/8”, e 37 cm de comprimento</t>
  </si>
  <si>
    <t>E.4 - Esquadria 60x60 cm alumínio anodizado, acabamento natural com vidro fixo mini-boreal e = 4 mm. Referência Alcoa, Linha Gold.</t>
  </si>
  <si>
    <t>Vidraceiro</t>
  </si>
  <si>
    <t>Mola hidráulica aérea; referência: Dorma, código: TS 72</t>
  </si>
  <si>
    <t>Engenheiro Civil, regime integral de trabalho</t>
  </si>
  <si>
    <t>Engenheiro Mecânico, regime integral de trabalho</t>
  </si>
  <si>
    <t>Técnico em Segurança do Trabalho, regime integral de trabalho</t>
  </si>
  <si>
    <t>Encarregado de Obras, regime integral de trabalho</t>
  </si>
  <si>
    <t>8.1</t>
  </si>
  <si>
    <t>8.2</t>
  </si>
  <si>
    <t>8.3</t>
  </si>
  <si>
    <t>8.4</t>
  </si>
  <si>
    <t>8.5</t>
  </si>
  <si>
    <t>8.6</t>
  </si>
  <si>
    <t>8.7</t>
  </si>
  <si>
    <t>8.8</t>
  </si>
  <si>
    <t>8.9</t>
  </si>
  <si>
    <t>8.10</t>
  </si>
  <si>
    <t>8.11</t>
  </si>
  <si>
    <t>8.12</t>
  </si>
  <si>
    <t>8.13</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</si>
  <si>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</si>
  <si>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</si>
  <si>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</si>
  <si>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</si>
  <si>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</si>
  <si>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</si>
  <si>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</si>
  <si>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</si>
  <si>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</si>
  <si>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</si>
  <si>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</si>
  <si>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</si>
  <si>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</si>
  <si>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</si>
  <si>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</si>
  <si>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</si>
  <si>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</si>
  <si>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</si>
  <si>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</si>
  <si>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</si>
  <si>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</si>
  <si>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</si>
  <si>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</si>
  <si>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</si>
  <si>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</si>
  <si>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</si>
  <si>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</si>
  <si>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</si>
  <si>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</si>
  <si>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</si>
  <si>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</si>
  <si>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</si>
  <si>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</si>
  <si>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</si>
  <si>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</si>
  <si>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</si>
  <si>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</si>
  <si>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</si>
  <si>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</si>
  <si>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</si>
  <si>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</si>
  <si>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</si>
  <si>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</si>
  <si>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</si>
  <si>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</si>
  <si>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</si>
  <si>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</si>
  <si>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</si>
  <si>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</si>
  <si>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</si>
  <si>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</si>
  <si>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</si>
  <si>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</si>
  <si>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</si>
  <si>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</si>
  <si>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</si>
  <si>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</si>
  <si>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</si>
  <si>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11.60</t>
  </si>
  <si>
    <t>11.61</t>
  </si>
  <si>
    <t>11.62</t>
  </si>
  <si>
    <t>12.1</t>
  </si>
  <si>
    <t>12.2</t>
  </si>
  <si>
    <t>12.3</t>
  </si>
  <si>
    <t>12.4</t>
  </si>
  <si>
    <t>12.5</t>
  </si>
  <si>
    <t>12.6</t>
  </si>
  <si>
    <t>12.7</t>
  </si>
  <si>
    <t>12.8</t>
  </si>
  <si>
    <t>12.9</t>
  </si>
  <si>
    <t>12.10</t>
  </si>
  <si>
    <t>12.11</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</si>
  <si>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</si>
  <si>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</si>
  <si>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</si>
  <si>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</si>
  <si>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</si>
  <si>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</si>
  <si>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</si>
  <si>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</si>
  <si>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</si>
  <si>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</si>
  <si>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</si>
  <si>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</si>
  <si>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</si>
  <si>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</si>
  <si>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</si>
  <si>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</si>
  <si>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</si>
  <si>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</si>
  <si>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</si>
  <si>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</si>
  <si>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</si>
  <si>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</si>
  <si>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</si>
  <si>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</si>
  <si>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</si>
  <si>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</si>
  <si>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</si>
  <si>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15.1.1</t>
  </si>
  <si>
    <t>15.1.2</t>
  </si>
  <si>
    <t>15.1.3</t>
  </si>
  <si>
    <t>15.1.4</t>
  </si>
  <si>
    <t>15.1.5</t>
  </si>
  <si>
    <t>15.1.6</t>
  </si>
  <si>
    <t>15.1.7</t>
  </si>
  <si>
    <t>15.1.8</t>
  </si>
  <si>
    <t>Mobilização e desmobilização de obras</t>
  </si>
  <si>
    <t>6.2.1</t>
  </si>
  <si>
    <t>6.2.2</t>
  </si>
  <si>
    <t>6.2.3</t>
  </si>
  <si>
    <t>6.2.4</t>
  </si>
  <si>
    <t>6.2.5</t>
  </si>
  <si>
    <t>6.2.6</t>
  </si>
  <si>
    <t>6.2.7</t>
  </si>
  <si>
    <t>6.2.8</t>
  </si>
  <si>
    <t>10.1.1</t>
  </si>
  <si>
    <t>10.1.2</t>
  </si>
  <si>
    <t>10.1.3</t>
  </si>
  <si>
    <t>10.1.4</t>
  </si>
  <si>
    <t>10.1.5</t>
  </si>
  <si>
    <t>10.1.6</t>
  </si>
  <si>
    <t>10.1.7</t>
  </si>
  <si>
    <t>10.1.8</t>
  </si>
  <si>
    <t>10.1.9</t>
  </si>
  <si>
    <t>10.1.10</t>
  </si>
  <si>
    <t>10.3.1</t>
  </si>
  <si>
    <t>10.3.2</t>
  </si>
  <si>
    <t>10.3.3</t>
  </si>
  <si>
    <t>10.3.4</t>
  </si>
  <si>
    <t>10.3.5</t>
  </si>
  <si>
    <t>Engenheiro Mecânico.                                                                    Obs: O código inserido neste item se refere a Engenheiro Eletricista, uma vez que as tabelas SINAPI/ SETOP não mais fornecem preços para este profissional específico</t>
  </si>
  <si>
    <t>15.7.1</t>
  </si>
  <si>
    <t>Locação e montagem de 455,00m² andaime metálico tipo fachadeiro</t>
  </si>
  <si>
    <t>Tapume h=2,20m em chapa de compensado resinado de 12mm x 2,20m incluindo estrutura em peças de madeira de lei 8x8cm, acabamento superior com duas réguas laterais de madeira de 7cm de largura x 1,5cm de espessura e uma régua superior de 17cm x 1,5cm de espessura em todo perímetro e um portão de 4,00m de largura, com todas as ferragens e com pintura em duas demãos de caiação branca</t>
  </si>
  <si>
    <t xml:space="preserve">OBRA/SERVIÇO: READEQUAÇÃO E REFORMA </t>
  </si>
  <si>
    <t>LOCAL: BLOCO  B - ICEA - JOÃO MONLEVADE</t>
  </si>
  <si>
    <t>Parafuso ou pino para fixação</t>
  </si>
  <si>
    <t>Fixação de parafuso e arruela de nylon, somente mão de obra</t>
  </si>
  <si>
    <t xml:space="preserve">Serralheiro </t>
  </si>
  <si>
    <t>Ajudante eletricista</t>
  </si>
  <si>
    <t>Construção e manutenção de canteiro de obras, com aluguel de container metálico com dimensões de 2,20x6,20x2,50m (LxCxH), com janela e chapa simples, modelo Escritório, incluso transporte, carga e descarga</t>
  </si>
  <si>
    <t>Construção e manutenção de canteiro de obras, com aluguel de container metálico com dimensões de 2,20x6,20x2,50m (LxCxH), com janela e chapa simples, modelo Sanitário/Vestiário (4 vasos, 1 lavatório, 1 mictório e 4 chuveiros), incluso transporte, carga e descarga</t>
  </si>
  <si>
    <t>rebite de aluminio vazado de repuxo, 3,2 x 8 mm,1kg = 1025 unidades</t>
  </si>
  <si>
    <t>Chapa de aco galvanizada bitola gsg 16, e = 1,55 mm (12,40 kg/m2)</t>
  </si>
  <si>
    <t>rebite de aluminio vazado de repuxo, 3,2 x 8 mm, 1kg =1025 unidades</t>
  </si>
  <si>
    <t>Instalação das telhas sobre engradamento metálico conforme detalhamento indicado no projeto. Hastes de fixação com goivas e calço plástico; pontaletes em estrutura metálica, conforme detalhamento indicado no projeto de estruturas metálicas</t>
  </si>
  <si>
    <t>Chapa de policarbonato alveolar transparente, e=6mm, referência day brasil, linha lexan thermoclear alveolar ou equivalente</t>
  </si>
  <si>
    <t>Arame galvanizado 12 bwg, 2,76 mm (0,048 kg/m)</t>
  </si>
  <si>
    <t>Prego de aco polido com cabeca 18 x 30 (2 3/4 x 10)</t>
  </si>
  <si>
    <t>Tê de ferro galvanizado, de 2"</t>
  </si>
  <si>
    <t>Cabo isolado PVC - 450/750V -2,5mm²- AZUL, fornecimento e instalação</t>
  </si>
  <si>
    <t>Cabo isolado PVC - 450/750V -2,5mm²- PRETO, fornecimento e instalação</t>
  </si>
  <si>
    <t>Cabo isolado PVC - 450/750V -2,5mm²-VERMELHO, fornecimento e instalação</t>
  </si>
  <si>
    <t>Cabo isolado PVC - 450/750V -2,5mm²-MARROM, fornecimento e instalação</t>
  </si>
  <si>
    <t>Cabo isolado PVC - 450/750V -2,5mm²-BRANCO, fornecimento e instalação</t>
  </si>
  <si>
    <t>Cabo isolado PVC - 450/750V -2,5mm²-VERDE, fornecimento e instalação</t>
  </si>
  <si>
    <t>Cabo isolado PVC - 450/750V -4,0mm²-AZUL, fornecimento e instalação</t>
  </si>
  <si>
    <t>Cabo isolado PVC - 450/750V -4,0mm²-PRETO, fornecimento e instalação</t>
  </si>
  <si>
    <t>Cabo isolado PVC - 450/750V -4,0mm²-VERMELHO, fornecimento e instalação</t>
  </si>
  <si>
    <t>Cabo isolado PVC - 450/750V -4,0mm²-MARROM, fornecimento e instalação</t>
  </si>
  <si>
    <t>Cabo isolado PVC - 450/750V -4,0mm²-VERDE, fornecimento e instalação</t>
  </si>
  <si>
    <t>Cabo isolado PVC - 450/750V -6,0mm²-AZUL, fornecimento e instalação</t>
  </si>
  <si>
    <t>Cabo isolado PVC - 450/750V -6,0mm²-PRETO, fornecimento e instalação</t>
  </si>
  <si>
    <t>Cabo isolado PVC - 450/750V -6,0mm²-VERMELHO, fornecimento e instalação</t>
  </si>
  <si>
    <t>Cabo isolado PVC - 450/750V -6,0mm²-MARROM, fornecimento e instalação</t>
  </si>
  <si>
    <t>Cabo isolado PVC - 450/750V -6,0mm²-VERDE, fornecimento e instalação</t>
  </si>
  <si>
    <t>Cabo isolado PVC - 450/750V -10,0mm²-AZUL, fornecimento e instalação</t>
  </si>
  <si>
    <t>Cabo isolado PVC - 450/750V -10,0mm²-PRETO, fornecimento e instalação</t>
  </si>
  <si>
    <t>Cabo isolado PVC - 450/750V -10,0mm²-VERMELHO, fornecimento e instalação</t>
  </si>
  <si>
    <t>Cabo isolado PVC - 450/750V -10,0mm²-MARROM, fornecimento e instalação</t>
  </si>
  <si>
    <t>Cabo isolado PVC - 450/750V -10,0mm²-VERDE, fornecimento e instalação</t>
  </si>
  <si>
    <t>Cabo isolado PVC - 450/750V -16,0mm²-PRETO, fornecimento e instalação</t>
  </si>
  <si>
    <t>Cabo isolado PVC - 450/750V -16,0mm²-AZUL, fornecimento e instalação</t>
  </si>
  <si>
    <t>Cabo isolado PVC - 450/750V -16,0mm²-VERDE, fornecimento e instalação</t>
  </si>
  <si>
    <t>Cabo isolado PVC - 450/750V -150,0mm²-PRETO, fornecimento e instalação</t>
  </si>
  <si>
    <t>Cabo isolado PVC- 450/750V -150,0mm²-AZUL, fornecimento e instalação</t>
  </si>
  <si>
    <t>Cabo isolado PVC- 450/750V -70,0mm²-VERDE, fornecimento e instalação</t>
  </si>
  <si>
    <t>Ventilador Exaustor modelo MURO 150B, Ref. MULTIVAC. (VE-01)</t>
  </si>
  <si>
    <t xml:space="preserve">Split Inverter 31000Btu/h - Modelo Evaporadora S4NW31V43B1 - Modelo Condensadora S4UW31V43B1 – Alimentação 220V - Ciclo Quente-Frio - Gás Refrigerante R-410A -Classificação Energética (INMETRO) A - Marca LG ou similar. </t>
  </si>
  <si>
    <t xml:space="preserve">Split Inverter 18000Btu/h - Modelo Evaporadora BI18R - Modelo Condensadora BE18R – Alimentação 220V - Ciclo Quente-Frio - Gás Refrigerante R-410A - Classificação Energética (INMETRO) A - Marca ELECTROLUX ou similar. </t>
  </si>
  <si>
    <t>QUANTIDADE</t>
  </si>
  <si>
    <t>Split Inverter 18000Btu/h, ref. Electrolux</t>
  </si>
  <si>
    <t>Mecânico</t>
  </si>
  <si>
    <t>Ajudante de Mecânico</t>
  </si>
  <si>
    <t>Split Inverter 31000Btu/h, ref. LG</t>
  </si>
  <si>
    <t>Rede de dutos em chapa galvanizada,  #26</t>
  </si>
  <si>
    <t>UN</t>
  </si>
  <si>
    <t>Tubo de cobre soldável, inclusive conexões e suportes, 7/8''</t>
  </si>
  <si>
    <t>Tubo de cobre soldável, inclusive conexões e suportes, 3/4''</t>
  </si>
  <si>
    <t>Tubo de cobre soldável, inclusive conexões e suportes, 5/8''</t>
  </si>
  <si>
    <t>Tubo de cobre soldável, inclusive conexões e suportes, 3/8''</t>
  </si>
  <si>
    <t>Tubo de cobre soldável, inclusive conexões e suportes, 1/4''</t>
  </si>
  <si>
    <t>fita isolante adesiva antichama, uso ate 750 v, em rolo de 19mm x 5m</t>
  </si>
  <si>
    <t>Fixação de tubos verticais de ppr diâmetros menores ou iguais a 40 mm com abraçadeira metálica rígida tipo d 1/2", fixada em perfilado em alvenaria.</t>
  </si>
  <si>
    <t>Auxiliar de eletricista</t>
  </si>
  <si>
    <t>Auxiliar de serralheiro</t>
  </si>
  <si>
    <t>Chapa de aço e=3mm</t>
  </si>
  <si>
    <t>Rack metálico 44 ES em estrutura parafusada em aço carbono com espessura de 1,2 mm, fechamento traseiro, laterais e tetos removíveis, fornecimento e instalação</t>
  </si>
  <si>
    <t>Eletrotécnico montador</t>
  </si>
  <si>
    <t>Rack metálico 44 ES em estrutura parafusada em aço carbono com espessura de 1,2 mm, fechamento traseiro, laterais e tetos removíveis</t>
  </si>
  <si>
    <t>Cabo de Rede Patch Cord cat.6 com plug modulador RJ45 1,5m</t>
  </si>
  <si>
    <t>chumbamento linear em alvenaria para ramais/distribuição com diâmetros menores ou iguais a 40 mm.</t>
  </si>
  <si>
    <t>cabo de cobre flexível isolado, 2,5 mm², anti-chama 450/750 v, para circuitos terminais - fornecimento e instalação.</t>
  </si>
  <si>
    <t>Fixação de tubos horizontais de ppr diâmetros maiores que 75 mm com abraçadeira metálica rígida tipo d 3", fixada em perfilado em laje.</t>
  </si>
  <si>
    <t>Ajudante de serralheiro</t>
  </si>
  <si>
    <t xml:space="preserve">Abrigo para hidrante interno, tipo embutir, confeccionado em chapa 16 a 20, pintado na cor vermelha , dimensões (60x90x17) cm contendo visor de vidro com a inscrição INCÊNDIO e cesto basculante para mangueiras </t>
  </si>
  <si>
    <t>Postes Galvanizados dim. 40x60mm em chapa e=1,55mm, gramatura mínima de zinco 275m/m² revestidos através de pintura eletrostática, 80 micras para pintura simples e 120 micras para pintura dupla na cor verde, Ref. Nylofor 3D Belgo Bekaert Arames</t>
  </si>
  <si>
    <t xml:space="preserve">Painéis Galvanizados altura=1,03m e largura =2,50m, fios horizontais e verticais diâmetro= 5,00mm, revestidos com poliéster através de pintura eletrostática, 100 micras para pintura/ simples 200micras para pintura dupla na cor preta. </t>
  </si>
  <si>
    <t>Concreto fck = 20mpa, traço 1:2,7:3 (cimento/ areia média/ brita 1)  - preparo mecânico com betoneira 600 l.</t>
  </si>
  <si>
    <t>Dobradiça metálica 3 x 2 1/2", com parafusos</t>
  </si>
  <si>
    <t xml:space="preserve">Trinco médio em barra chata 2,5mm, ref.: Papaiz 17612 </t>
  </si>
  <si>
    <t>Cadeado Ref. BT - 20mm, Latão Papaiz</t>
  </si>
  <si>
    <t>cj</t>
  </si>
  <si>
    <t>Hastes de fixação com goivas e calço plástico</t>
  </si>
  <si>
    <t>Pintura  óleo/esmalte 2 demãos em esquadria de madeira sem massa</t>
  </si>
  <si>
    <t>Folhas de correr, fornecimento e instalação</t>
  </si>
  <si>
    <t>Folhas fixas com vidro liso incolor e= 6 mm, fornecimento e instalação</t>
  </si>
  <si>
    <t>Folhas com parte superior fixa com vidro liso incolor e = 4 mm,  fornecimento e instalação</t>
  </si>
  <si>
    <t>Carpinteiro de esquadria</t>
  </si>
  <si>
    <t>Puxador central para esquadria de alumínio</t>
  </si>
  <si>
    <t>Esquadria 246x111 cm alumínio anodizado, acabamento natural, sistema de abertura máximo–ar, com estrutura compatível e montante seguindo a modulação do projeto</t>
  </si>
  <si>
    <t>E.5 - Esquadria 685x60 cm alumínio anodizado, acabamento natural,parte superior em Veneziana e a parte inferior com vidro fixo mini-boreal e = 4 mm; referência Alcoa, Linha Gold. Conforme detalhe do projeto</t>
  </si>
  <si>
    <t xml:space="preserve">Esquadria 685x60 cm alumínio anodizado, acabamento natural,parte superior em Veneziana </t>
  </si>
  <si>
    <t>Esquadria, parte inferior com vidro fixo mini-boreal e = 4 mm</t>
  </si>
  <si>
    <t>Telha trapezoidal simples pintada i=5%, esp.=8mm; 24 unidades comprimento= 4.186mm, 06 unidades comprimento= 3.663mm; referência: Alcoflon Trapezoidal na cor cinza platina RAL 7035, apenas fornecimento</t>
  </si>
  <si>
    <t>Perfil caixa, pontaletes</t>
  </si>
  <si>
    <t>Perfil C, sob telhas</t>
  </si>
  <si>
    <t>Perfil C, terças</t>
  </si>
  <si>
    <t xml:space="preserve">Guincho elétrico de coluna, capacidade 400 kg, com moto freio, motor trifásico de 1,25 cv - CHP diurno. </t>
  </si>
  <si>
    <t xml:space="preserve">Guincho elétrico de coluna, capacidade 400 kg, com moto freio, motor trifásico de 1,25 cv - CHI diurno. </t>
  </si>
  <si>
    <t>Guindaste hidráulico autopropelido, com lança telescópica 40 m, capacidade máxima 60 t, potência 260 kw - CHP diurno.</t>
  </si>
  <si>
    <t>Guindaste hidráulico autopropelido, com lança telescópica 40 m, capacidade máxima 60 t, potência 260 kw - CHI diurno.</t>
  </si>
  <si>
    <t>Solda topo descendente chanfrada espessura=1/4'' chapa/perfil/tubo aço com conversor diesel.</t>
  </si>
  <si>
    <t>Brise em perfil de Aluzinc com estrutura em perfis de alumínio extrudado; referência Luxalon Hunter Douglas, Linha Termobrise 150, cor anodizado claro, com painel móvel e espaçamento= 135 mm conforme detalhamento. Instalação fora do vão e fixação com “porta-painel”conforme orientação do fabricante.</t>
  </si>
  <si>
    <t>Disjuntor tripolar DIN, 60A</t>
  </si>
  <si>
    <t>Disjuntor bipolar DIN, 25A</t>
  </si>
  <si>
    <t>Grampo metalico tipo olhal para haste de aterramento de 5/8'', condutor de *10* a 50 mm2</t>
  </si>
  <si>
    <t>Haste de aterramento em aco com 3,00 m de comprimento e dn = 5/8", revestida com baixa camada de cobre, com conector tipo grampo</t>
  </si>
  <si>
    <t>Eletroduto PVC rigido roscavel, 1 1/2'', com luva</t>
  </si>
  <si>
    <t>Quadro de distribuicao com barramento trifasico, em chapa de aco galvanizado,para disjuntores DIN, conforme projeto</t>
  </si>
  <si>
    <t>Argamassa traço 1:3 (cimento e areia média), preparo manual</t>
  </si>
  <si>
    <t>Eletroduto rigido roscavel, PVC, (1/2")</t>
  </si>
  <si>
    <t>Quebra em alvenaria para instalação de caixa de tomada (4x4 ou 4x2)</t>
  </si>
  <si>
    <t>Conjunto tampa e interruptor, fornecimento e instalação</t>
  </si>
  <si>
    <t>Chapa de aco galvanizada bitola GSG 26, e = 0,50 mm (4,00 kg/m2)</t>
  </si>
  <si>
    <t>Caixa de filtro FIL BOX QUAD 150. Ref. Sicflux</t>
  </si>
  <si>
    <t>Ventilador modelo MAXX 200 + caixa de filtro FILBOX QUAD 200. Ref. Sicflux</t>
  </si>
  <si>
    <t>Ventilador modelo MAXX 150 + caixa de filtro FILBOX QUAD 150. Ref. Sicflux</t>
  </si>
  <si>
    <t>caixa retangular 4" x 2", pvc - fornecimento e instalação</t>
  </si>
  <si>
    <t>caixa octogonal 3" x 3", pvc- fornecimento e instalação</t>
  </si>
  <si>
    <t>Fornecimento e assentamento tubo rígido com ponta lisa - 25 mm, inclusive conexões e suportes, fornecimento e instalação</t>
  </si>
  <si>
    <t>Fornecimento e assentamento tubo rígido com ponta lisa - 40 mm, inclusive conexões e suportes, fornecimento e instalação</t>
  </si>
  <si>
    <t>Fornecimento e assentamento tubo rígido com ponta lisa - 50 mm, inclusive conexões e suportes, fornecimento e instalação</t>
  </si>
  <si>
    <t>Fornecimento e assentamento tubo rígido com ponta lisa - 75 mm, inclusive conexões e suportes, fornecimento e instalação</t>
  </si>
  <si>
    <t>Fornecimento e assentamento tubo rígido com ponta lisa - 100 mm, inclusive conexões e suportes, fornecimento e instalação</t>
  </si>
  <si>
    <t>Fornecimento e assentamento tubo rígido com ponta lisa - 150 mm, inclusive conexões e suportes, fornecimento e instalação</t>
  </si>
  <si>
    <t xml:space="preserve">Grade aramada para pia </t>
  </si>
  <si>
    <t>1.2.1</t>
  </si>
  <si>
    <t>1.3.1</t>
  </si>
  <si>
    <t>3.1.1</t>
  </si>
  <si>
    <t>3.1.2</t>
  </si>
  <si>
    <t>3.1.3</t>
  </si>
  <si>
    <t>3.1.4</t>
  </si>
  <si>
    <t>3.1.5</t>
  </si>
  <si>
    <t>3.2.1</t>
  </si>
  <si>
    <t>3.2.2</t>
  </si>
  <si>
    <t>3.2.3</t>
  </si>
  <si>
    <t>3.2.4</t>
  </si>
  <si>
    <t>3.2.5</t>
  </si>
  <si>
    <t>3.2.6</t>
  </si>
  <si>
    <t>3.2.7</t>
  </si>
  <si>
    <t>3.2.8</t>
  </si>
  <si>
    <t>3.2.9</t>
  </si>
  <si>
    <t>3.2.10</t>
  </si>
  <si>
    <t>3.2.11</t>
  </si>
  <si>
    <t>3.2.12</t>
  </si>
  <si>
    <t>3.2.13</t>
  </si>
  <si>
    <t>3.2.14</t>
  </si>
  <si>
    <t>3.2.15</t>
  </si>
  <si>
    <t>3.2.16</t>
  </si>
  <si>
    <t>3.3.1</t>
  </si>
  <si>
    <t>3.3.2</t>
  </si>
  <si>
    <t>3.3.3</t>
  </si>
  <si>
    <t>3.3.2.1</t>
  </si>
  <si>
    <t>3.3.1.1</t>
  </si>
  <si>
    <t>3.3.1.2</t>
  </si>
  <si>
    <t>4.1</t>
  </si>
  <si>
    <t>4.2</t>
  </si>
  <si>
    <t>4.3</t>
  </si>
  <si>
    <t>4.4</t>
  </si>
  <si>
    <t>5.1.1</t>
  </si>
  <si>
    <t>5.1.2</t>
  </si>
  <si>
    <t>5.2.1</t>
  </si>
  <si>
    <t>5.3.1</t>
  </si>
  <si>
    <t>5.3.2</t>
  </si>
  <si>
    <t>5.3.3</t>
  </si>
  <si>
    <t>5.2.1.1</t>
  </si>
  <si>
    <t>5.2.1.2</t>
  </si>
  <si>
    <t>5.2.1.3</t>
  </si>
  <si>
    <t>5.2.1.4</t>
  </si>
  <si>
    <t>5.2.1.5</t>
  </si>
  <si>
    <t>5.2.1.6</t>
  </si>
  <si>
    <t>5.2.1.7</t>
  </si>
  <si>
    <t>5.2.1.8</t>
  </si>
  <si>
    <t>5.2.1.9</t>
  </si>
  <si>
    <t>5.2.1.10</t>
  </si>
  <si>
    <t>5.2.1.11</t>
  </si>
  <si>
    <t>5.2.1.12</t>
  </si>
  <si>
    <t>5.3.1.1</t>
  </si>
  <si>
    <t>5.3.1.2</t>
  </si>
  <si>
    <t>5.3.1.3</t>
  </si>
  <si>
    <t>5.3.1.4</t>
  </si>
  <si>
    <t>5.3.1.5</t>
  </si>
  <si>
    <t>5.3.1.6</t>
  </si>
  <si>
    <t>5.3.1.7</t>
  </si>
  <si>
    <t>5.3.1.8</t>
  </si>
  <si>
    <t>5.3.1.9</t>
  </si>
  <si>
    <t>5.3.1.10</t>
  </si>
  <si>
    <t>5.3.1.11</t>
  </si>
  <si>
    <t>7.1</t>
  </si>
  <si>
    <t>7.1.1</t>
  </si>
  <si>
    <t>7.1.2</t>
  </si>
  <si>
    <t>7.1.3</t>
  </si>
  <si>
    <t>7.1.4</t>
  </si>
  <si>
    <t>9.1</t>
  </si>
  <si>
    <t>9.1.1</t>
  </si>
  <si>
    <t>9.1.2</t>
  </si>
  <si>
    <t>9.1.3</t>
  </si>
  <si>
    <t>9.1.4</t>
  </si>
  <si>
    <t>9.1.5</t>
  </si>
  <si>
    <t>9.1.6</t>
  </si>
  <si>
    <t>9.1.7</t>
  </si>
  <si>
    <t>9.1.8</t>
  </si>
  <si>
    <t>9.1.9</t>
  </si>
  <si>
    <t>9.1.10</t>
  </si>
  <si>
    <t>9.1.1.1</t>
  </si>
  <si>
    <t>9.1.1.2</t>
  </si>
  <si>
    <t>9.1.1.3</t>
  </si>
  <si>
    <t>9.1.1.4</t>
  </si>
  <si>
    <t>9.1.1.5</t>
  </si>
  <si>
    <t>9.1.1.6</t>
  </si>
  <si>
    <t>9.1.1.7</t>
  </si>
  <si>
    <t>9.1.1.8</t>
  </si>
  <si>
    <t>9.1.1.9</t>
  </si>
  <si>
    <t>9.1.1.10</t>
  </si>
  <si>
    <t>9.1.2.1</t>
  </si>
  <si>
    <t>9.1.2.2</t>
  </si>
  <si>
    <t>9.1.2.3</t>
  </si>
  <si>
    <t>9.1.2.4</t>
  </si>
  <si>
    <t>9.1.2.5</t>
  </si>
  <si>
    <t>9.1.2.6</t>
  </si>
  <si>
    <t>9.1.2.7</t>
  </si>
  <si>
    <t>9.1.2.8</t>
  </si>
  <si>
    <t>9.1.2.9</t>
  </si>
  <si>
    <t>9.1.2.10</t>
  </si>
  <si>
    <t>9.1.3.1</t>
  </si>
  <si>
    <t>9.1.3.2</t>
  </si>
  <si>
    <t>9.1.3.3</t>
  </si>
  <si>
    <t>9.1.3.4</t>
  </si>
  <si>
    <t>9.1.3.5</t>
  </si>
  <si>
    <t>9.1.3.6</t>
  </si>
  <si>
    <t>9.1.3.7</t>
  </si>
  <si>
    <t>9.1.3.8</t>
  </si>
  <si>
    <t>9.1.3.9</t>
  </si>
  <si>
    <t>9.1.3.10</t>
  </si>
  <si>
    <t>9.1.5.1</t>
  </si>
  <si>
    <t>9.1.5.2</t>
  </si>
  <si>
    <t>9.1.5.3</t>
  </si>
  <si>
    <t>9.1.5.4</t>
  </si>
  <si>
    <t>9.1.5.5</t>
  </si>
  <si>
    <t>9.1.5.6</t>
  </si>
  <si>
    <t>9.1.5.7</t>
  </si>
  <si>
    <t>9.1.5.8</t>
  </si>
  <si>
    <t>9.1.5.9</t>
  </si>
  <si>
    <t>9.1.7.1</t>
  </si>
  <si>
    <t>9.1.7.2</t>
  </si>
  <si>
    <t>9.1.7.3</t>
  </si>
  <si>
    <t>9.1.7.4</t>
  </si>
  <si>
    <t>9.1.7.5</t>
  </si>
  <si>
    <t>9.1.7.6</t>
  </si>
  <si>
    <t>9.1.7.7</t>
  </si>
  <si>
    <t>9.1.7.8</t>
  </si>
  <si>
    <t>9.1.7.9</t>
  </si>
  <si>
    <t>9.1.7.10</t>
  </si>
  <si>
    <t>9.1.10.1</t>
  </si>
  <si>
    <t>9.1.10.2</t>
  </si>
  <si>
    <t>9.1.10.3</t>
  </si>
  <si>
    <t>9.1.10.4</t>
  </si>
  <si>
    <t>9.1.10.5</t>
  </si>
  <si>
    <t>9.1.10.6</t>
  </si>
  <si>
    <t>9.1.10.7</t>
  </si>
  <si>
    <t>10.1.2.1</t>
  </si>
  <si>
    <t>10.1.2.2</t>
  </si>
  <si>
    <t>10.1.2.3</t>
  </si>
  <si>
    <t>10.1.2.4</t>
  </si>
  <si>
    <t>10.2.1</t>
  </si>
  <si>
    <t>10.2.2</t>
  </si>
  <si>
    <t>10.2.2.1</t>
  </si>
  <si>
    <t>10.2.2.2</t>
  </si>
  <si>
    <t>10.2.2.3</t>
  </si>
  <si>
    <t>10.2.2.4</t>
  </si>
  <si>
    <t>10.2.2.5</t>
  </si>
  <si>
    <t>10.2.2.6</t>
  </si>
  <si>
    <t>10.2.2.7</t>
  </si>
  <si>
    <t>10.2.2.8</t>
  </si>
  <si>
    <t>13.16.1</t>
  </si>
  <si>
    <t>13.16.2</t>
  </si>
  <si>
    <t>13.21.1</t>
  </si>
  <si>
    <t>13.21.2</t>
  </si>
  <si>
    <t>13.21.3</t>
  </si>
  <si>
    <t>13.22.1</t>
  </si>
  <si>
    <t>13.22.2</t>
  </si>
  <si>
    <t>13.22.3</t>
  </si>
  <si>
    <t>13.23.1</t>
  </si>
  <si>
    <t>13.23.2</t>
  </si>
  <si>
    <t>13.23.3</t>
  </si>
  <si>
    <t>13.25.1</t>
  </si>
  <si>
    <t>13.25.2</t>
  </si>
  <si>
    <t>13.25.3</t>
  </si>
  <si>
    <t>13.26.1</t>
  </si>
  <si>
    <t>13.26.2</t>
  </si>
  <si>
    <t>13.26.3</t>
  </si>
  <si>
    <t>13.27.1</t>
  </si>
  <si>
    <t>13.27.2</t>
  </si>
  <si>
    <t>13.27.3</t>
  </si>
  <si>
    <t>14.1</t>
  </si>
  <si>
    <t>14.2</t>
  </si>
  <si>
    <t>14.3</t>
  </si>
  <si>
    <t>14.4</t>
  </si>
  <si>
    <t>14.5</t>
  </si>
  <si>
    <t>14.6</t>
  </si>
  <si>
    <t>14.7</t>
  </si>
  <si>
    <t>14.8</t>
  </si>
  <si>
    <t>14.9</t>
  </si>
  <si>
    <t>14.10</t>
  </si>
  <si>
    <t>14.11</t>
  </si>
  <si>
    <t>14.12</t>
  </si>
  <si>
    <t>14.13</t>
  </si>
  <si>
    <t>14.14</t>
  </si>
  <si>
    <t>14.15</t>
  </si>
  <si>
    <t>14.16</t>
  </si>
  <si>
    <t>14.17</t>
  </si>
  <si>
    <t>14.18</t>
  </si>
  <si>
    <t>14.19</t>
  </si>
  <si>
    <t>14.1.1</t>
  </si>
  <si>
    <t>14.1.2</t>
  </si>
  <si>
    <t>14.1.3</t>
  </si>
  <si>
    <t>14.1.4</t>
  </si>
  <si>
    <t>14.2.1</t>
  </si>
  <si>
    <t>14.2.2</t>
  </si>
  <si>
    <t>14.2.3</t>
  </si>
  <si>
    <t>14.2.4</t>
  </si>
  <si>
    <t>14.5.1</t>
  </si>
  <si>
    <t>14.5.2</t>
  </si>
  <si>
    <t>14.5.3</t>
  </si>
  <si>
    <t>14.17.1</t>
  </si>
  <si>
    <t>14.17.2</t>
  </si>
  <si>
    <t>14.17.3</t>
  </si>
  <si>
    <t>14.17.4</t>
  </si>
  <si>
    <t>14.18.1</t>
  </si>
  <si>
    <t>14.18.2</t>
  </si>
  <si>
    <t>14.18.3</t>
  </si>
  <si>
    <t>14.18.4</t>
  </si>
  <si>
    <t>14.19.1</t>
  </si>
  <si>
    <t>14.19.2</t>
  </si>
  <si>
    <t>14.19.3</t>
  </si>
  <si>
    <t>14.19.4</t>
  </si>
  <si>
    <t>14.19.5</t>
  </si>
  <si>
    <t>15.3.1</t>
  </si>
  <si>
    <t>15.2.1</t>
  </si>
  <si>
    <t>15.2.2</t>
  </si>
  <si>
    <t>15.2.3</t>
  </si>
  <si>
    <t>15.2.4</t>
  </si>
  <si>
    <t>15.2.5</t>
  </si>
  <si>
    <t>15.3.2</t>
  </si>
  <si>
    <t>15.4.1</t>
  </si>
  <si>
    <t>15.4.2</t>
  </si>
  <si>
    <t>15.4.3</t>
  </si>
  <si>
    <t>15.5.1</t>
  </si>
  <si>
    <t>15.5.2</t>
  </si>
  <si>
    <t>15.5.3</t>
  </si>
  <si>
    <t>15.5.4</t>
  </si>
  <si>
    <t>15.6.1</t>
  </si>
  <si>
    <t>15.6.2</t>
  </si>
  <si>
    <t>15.6.3</t>
  </si>
  <si>
    <t>15.1.1.1</t>
  </si>
  <si>
    <t>15.1.1.2</t>
  </si>
  <si>
    <t>15.1.1.3</t>
  </si>
  <si>
    <t>15.1.1.4</t>
  </si>
  <si>
    <t>15.3.1.1</t>
  </si>
  <si>
    <t>15.3.1.3</t>
  </si>
  <si>
    <t>15.7.1.1</t>
  </si>
  <si>
    <t>15.7.1.2</t>
  </si>
  <si>
    <t>15.7.1.3</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</si>
  <si>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</si>
  <si>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</si>
  <si>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</si>
  <si>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</si>
  <si>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</si>
  <si>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</si>
  <si>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</si>
  <si>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</si>
  <si>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</si>
  <si>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</si>
  <si>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</si>
  <si>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</si>
  <si>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</si>
  <si>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</si>
  <si>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</si>
  <si>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</si>
  <si>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</si>
  <si>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</si>
  <si>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</si>
  <si>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</si>
  <si>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</si>
  <si>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</si>
  <si>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</si>
  <si>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</si>
  <si>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</si>
  <si>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</si>
  <si>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16.26.1</t>
  </si>
  <si>
    <t>16.1.1</t>
  </si>
  <si>
    <t>16.1.2</t>
  </si>
  <si>
    <t>16.1.3</t>
  </si>
  <si>
    <t>16.2.1</t>
  </si>
  <si>
    <t>16.2.2</t>
  </si>
  <si>
    <t>16.2.3</t>
  </si>
  <si>
    <t>16.3.1</t>
  </si>
  <si>
    <t>16.3.2</t>
  </si>
  <si>
    <t>16.3.3</t>
  </si>
  <si>
    <t>16.4.1</t>
  </si>
  <si>
    <t>16.4.2</t>
  </si>
  <si>
    <t>16.4.3</t>
  </si>
  <si>
    <t>16.5.1</t>
  </si>
  <si>
    <t>16.5.2</t>
  </si>
  <si>
    <t>16.5.3</t>
  </si>
  <si>
    <t>16.6.1</t>
  </si>
  <si>
    <t>16.6.2</t>
  </si>
  <si>
    <t>16.6.3</t>
  </si>
  <si>
    <t>16.7.1</t>
  </si>
  <si>
    <t>16.7.2</t>
  </si>
  <si>
    <t>16.7.3</t>
  </si>
  <si>
    <t>16.11.1</t>
  </si>
  <si>
    <t>16.11.2</t>
  </si>
  <si>
    <t>16.11.3</t>
  </si>
  <si>
    <t>16.11.4</t>
  </si>
  <si>
    <t>16.12.1</t>
  </si>
  <si>
    <t>16.12.2</t>
  </si>
  <si>
    <t>16.12.3</t>
  </si>
  <si>
    <t>16.12.4</t>
  </si>
  <si>
    <t>16.13.1</t>
  </si>
  <si>
    <t>16.13.2</t>
  </si>
  <si>
    <t>16.13.3</t>
  </si>
  <si>
    <t>16.13.4</t>
  </si>
  <si>
    <t>16.14.1</t>
  </si>
  <si>
    <t>16.14.2</t>
  </si>
  <si>
    <t>16.14.3</t>
  </si>
  <si>
    <t>16.14.4</t>
  </si>
  <si>
    <t>16.15.1</t>
  </si>
  <si>
    <t>16.15.2</t>
  </si>
  <si>
    <t>16.15.3</t>
  </si>
  <si>
    <t>16.15.4</t>
  </si>
  <si>
    <t>16.16.1</t>
  </si>
  <si>
    <t>16.16.2</t>
  </si>
  <si>
    <t>16.16.3</t>
  </si>
  <si>
    <t>16.16.4</t>
  </si>
  <si>
    <t>16.17.1</t>
  </si>
  <si>
    <t>16.17.2</t>
  </si>
  <si>
    <t>16.17.3</t>
  </si>
  <si>
    <t>16.17.4</t>
  </si>
  <si>
    <t>16.18.1</t>
  </si>
  <si>
    <t>16.18.2</t>
  </si>
  <si>
    <t>16.18.3</t>
  </si>
  <si>
    <t>16.18.4</t>
  </si>
  <si>
    <t>16.19.1</t>
  </si>
  <si>
    <t>16.19.2</t>
  </si>
  <si>
    <t>16.19.3</t>
  </si>
  <si>
    <t>16.19.4</t>
  </si>
  <si>
    <t>16.20.1</t>
  </si>
  <si>
    <t>16.20.2</t>
  </si>
  <si>
    <t>16.20.3</t>
  </si>
  <si>
    <t>16.20.4</t>
  </si>
  <si>
    <t>16.23.1</t>
  </si>
  <si>
    <t>16.23.2</t>
  </si>
  <si>
    <t>16.23.3</t>
  </si>
  <si>
    <t>16.24.1</t>
  </si>
  <si>
    <t>16.24.2</t>
  </si>
  <si>
    <t>16.24.3</t>
  </si>
  <si>
    <t>16.25.1</t>
  </si>
  <si>
    <t>16.25.2</t>
  </si>
  <si>
    <t>16.25.3</t>
  </si>
  <si>
    <t>16.26.2</t>
  </si>
  <si>
    <t>16.26.3</t>
  </si>
  <si>
    <t>16.26.4</t>
  </si>
  <si>
    <t>16.26.5</t>
  </si>
  <si>
    <t>16.26.6</t>
  </si>
  <si>
    <t>16.26.7</t>
  </si>
  <si>
    <t>17.1.1</t>
  </si>
  <si>
    <t>17.1.2</t>
  </si>
  <si>
    <t>17.2</t>
  </si>
  <si>
    <t>17.3</t>
  </si>
  <si>
    <t>17.1.3</t>
  </si>
  <si>
    <t>17.1.4</t>
  </si>
  <si>
    <t>17.1.5</t>
  </si>
  <si>
    <t>17.1.6</t>
  </si>
  <si>
    <t>17.2.1</t>
  </si>
  <si>
    <t>17.2.2</t>
  </si>
  <si>
    <t>17.3.1</t>
  </si>
  <si>
    <t>17.3.2</t>
  </si>
  <si>
    <t>17.1.4.1</t>
  </si>
  <si>
    <t>17.1.4.2</t>
  </si>
  <si>
    <t>17.1.4.3</t>
  </si>
  <si>
    <t>17.1.4.4</t>
  </si>
  <si>
    <t>17.1.4.5</t>
  </si>
  <si>
    <t>17.1.4.6</t>
  </si>
  <si>
    <t>17.1.4.7</t>
  </si>
  <si>
    <t>17.1.4.8</t>
  </si>
  <si>
    <t>17.1.4.9</t>
  </si>
  <si>
    <t>17.1.4.10</t>
  </si>
  <si>
    <t>17.1.4.11</t>
  </si>
  <si>
    <t>17.1.4.12</t>
  </si>
  <si>
    <t>17.1.5.1</t>
  </si>
  <si>
    <t>17.1.5.2</t>
  </si>
  <si>
    <t>17.1.5.3</t>
  </si>
  <si>
    <t>17.1.5.4</t>
  </si>
  <si>
    <t>17.1.5.5</t>
  </si>
  <si>
    <t>17.1.5.6</t>
  </si>
  <si>
    <t>17.1.5.7</t>
  </si>
  <si>
    <t>17.1.5.8</t>
  </si>
  <si>
    <t>17.1.5.9</t>
  </si>
  <si>
    <t>17.1.5.10</t>
  </si>
  <si>
    <t>17.1.5.11</t>
  </si>
  <si>
    <t>17.1.5.12</t>
  </si>
  <si>
    <t>6.1.1</t>
  </si>
  <si>
    <t>6.1.2</t>
  </si>
  <si>
    <t>6.1.3</t>
  </si>
  <si>
    <t>6.3.1</t>
  </si>
  <si>
    <t>6.3.2</t>
  </si>
  <si>
    <t>6.3.3</t>
  </si>
  <si>
    <t>6.4</t>
  </si>
  <si>
    <t>6.4.1</t>
  </si>
  <si>
    <t>6.2.1.1</t>
  </si>
  <si>
    <t>6.2.1.2</t>
  </si>
  <si>
    <t>6.2.1.3</t>
  </si>
  <si>
    <t>6.2.1.4</t>
  </si>
  <si>
    <t>6.2.1.5</t>
  </si>
  <si>
    <t>6.2.1.6</t>
  </si>
  <si>
    <t>6.2.1.7</t>
  </si>
  <si>
    <t>6.2.2.1</t>
  </si>
  <si>
    <t>6.2.2.2</t>
  </si>
  <si>
    <t>6.2.2.3</t>
  </si>
  <si>
    <t>6.2.2.4</t>
  </si>
  <si>
    <t>6.2.2.5</t>
  </si>
  <si>
    <t>6.2.2.6</t>
  </si>
  <si>
    <t>6.2.2.7</t>
  </si>
  <si>
    <t>6.2.3.1</t>
  </si>
  <si>
    <t>6.2.3.2</t>
  </si>
  <si>
    <t>6.2.3.3</t>
  </si>
  <si>
    <t>6.2.3.4</t>
  </si>
  <si>
    <t>6.2.3.5</t>
  </si>
  <si>
    <t>6.2.3.6</t>
  </si>
  <si>
    <t>6.2.3.7</t>
  </si>
  <si>
    <t>6.2.4.1</t>
  </si>
  <si>
    <t>6.2.4.2</t>
  </si>
  <si>
    <t>6.2.4.3</t>
  </si>
  <si>
    <t>6.2.4.4</t>
  </si>
  <si>
    <t>6.2.4.5</t>
  </si>
  <si>
    <t>6.2.4.6</t>
  </si>
  <si>
    <t>6.2.4.7</t>
  </si>
  <si>
    <t>6.2.5.1</t>
  </si>
  <si>
    <t>6.2.5.2</t>
  </si>
  <si>
    <t>6.2.5.3</t>
  </si>
  <si>
    <t>6.2.5.4</t>
  </si>
  <si>
    <t>6.2.5.5</t>
  </si>
  <si>
    <t>6.2.5.6</t>
  </si>
  <si>
    <t>6.2.5.7</t>
  </si>
  <si>
    <t>6.2.6.1</t>
  </si>
  <si>
    <t>6.2.6.2</t>
  </si>
  <si>
    <t>6.2.6.3</t>
  </si>
  <si>
    <t>6.2.6.4</t>
  </si>
  <si>
    <t>6.2.7.1</t>
  </si>
  <si>
    <t>6.2.8.1</t>
  </si>
  <si>
    <t>6.2.8.2</t>
  </si>
  <si>
    <t>6.3.2.1</t>
  </si>
  <si>
    <t>6.3.2.2</t>
  </si>
  <si>
    <t>6.3.2.3</t>
  </si>
  <si>
    <t>6.3.3.1</t>
  </si>
  <si>
    <t>6.3.3.2</t>
  </si>
  <si>
    <t>Brise em perfil de Aluzinc com estrutura em perfis de alumínio extrudado; referência Luxalon Hunter Douglas, Linha Termobrise 150, cor anodizado claro, com painel móvel e espaçamento= 135 mm conforme detalhamento</t>
  </si>
  <si>
    <t>6.4.1.1</t>
  </si>
  <si>
    <t>6.4.1.2</t>
  </si>
  <si>
    <t>6.4.1.3</t>
  </si>
  <si>
    <t>6.4.1.4</t>
  </si>
  <si>
    <t>6.4.1.5</t>
  </si>
  <si>
    <t>6.4.1.6</t>
  </si>
  <si>
    <t>m³xkm</t>
  </si>
  <si>
    <t>Transporte de material de qualquer natureza dmt acima de 50 km</t>
  </si>
  <si>
    <t>15.3.1.4</t>
  </si>
  <si>
    <t>SINAPI 93567</t>
  </si>
  <si>
    <t>SINAPI 93572</t>
  </si>
  <si>
    <t>SINAPI 91677</t>
  </si>
  <si>
    <t>SINAPI 74209/001</t>
  </si>
  <si>
    <t>SINAPI 90439</t>
  </si>
  <si>
    <t>SINAPI 90440</t>
  </si>
  <si>
    <t>SINAPI 9537</t>
  </si>
  <si>
    <t>SINAPI 97063</t>
  </si>
  <si>
    <t>SINAPI 20193</t>
  </si>
  <si>
    <t>SINAPI 87523</t>
  </si>
  <si>
    <t>SINAPI 5090</t>
  </si>
  <si>
    <t>SINAPI 37586</t>
  </si>
  <si>
    <t>SINAPI 39413</t>
  </si>
  <si>
    <t>SINAPI 39419</t>
  </si>
  <si>
    <t>SINAPI 39422</t>
  </si>
  <si>
    <t>SINAPI 39431</t>
  </si>
  <si>
    <t>SINAPI 39432</t>
  </si>
  <si>
    <t>SINAPI 39434</t>
  </si>
  <si>
    <t>SINAPI 39435</t>
  </si>
  <si>
    <t>SINAPI 39443</t>
  </si>
  <si>
    <t>SINAPI 88278</t>
  </si>
  <si>
    <t>SINAPI 88316</t>
  </si>
  <si>
    <t>SINAPI 342</t>
  </si>
  <si>
    <t>SINAPI 5075</t>
  </si>
  <si>
    <t>SINAPI 6298</t>
  </si>
  <si>
    <t>SINAPI 94970</t>
  </si>
  <si>
    <t>SINAPI 11461</t>
  </si>
  <si>
    <t>SINAPI 2421</t>
  </si>
  <si>
    <t>SINAPI 88309</t>
  </si>
  <si>
    <t>SINAPI 88315</t>
  </si>
  <si>
    <t>SINAPI 90822+90828</t>
  </si>
  <si>
    <t>SINAPI 90821+90807</t>
  </si>
  <si>
    <t>SINAPI 91306</t>
  </si>
  <si>
    <t>SINAPI 94572</t>
  </si>
  <si>
    <t>SINAPI 85010</t>
  </si>
  <si>
    <t>SINAPI 84889</t>
  </si>
  <si>
    <t>SINAPI 38165</t>
  </si>
  <si>
    <t>SINAPI 88261</t>
  </si>
  <si>
    <t>SINAPI 94569</t>
  </si>
  <si>
    <t>SINAPI 88325</t>
  </si>
  <si>
    <t>SINAPI 95541</t>
  </si>
  <si>
    <t>SINAPI 6391</t>
  </si>
  <si>
    <t>SINAPI 88251</t>
  </si>
  <si>
    <t>SINAPI 72117</t>
  </si>
  <si>
    <t>SINAPI 20017</t>
  </si>
  <si>
    <t>SINAPI 88239</t>
  </si>
  <si>
    <t>SINAPI 88490</t>
  </si>
  <si>
    <t>SINAPI 88489</t>
  </si>
  <si>
    <t>SINAPI 94231</t>
  </si>
  <si>
    <t>SINAPI 94213+75889</t>
  </si>
  <si>
    <t>SINAPI 142</t>
  </si>
  <si>
    <t>SINAPI 5061</t>
  </si>
  <si>
    <t>SINAPI 5104</t>
  </si>
  <si>
    <t>SINAPI 13388</t>
  </si>
  <si>
    <t>SINAPI 11027</t>
  </si>
  <si>
    <t>SINAPI 88323</t>
  </si>
  <si>
    <t>SINAPI 93281</t>
  </si>
  <si>
    <t>SINAPI 93282</t>
  </si>
  <si>
    <t>SINAPI 1110</t>
  </si>
  <si>
    <t>SINAPI 11029</t>
  </si>
  <si>
    <t>SINAPI 4765</t>
  </si>
  <si>
    <t>SINAPI 4767</t>
  </si>
  <si>
    <t>SINAPI 93287</t>
  </si>
  <si>
    <t>SINAPI 93288</t>
  </si>
  <si>
    <t>SINAPI 40547</t>
  </si>
  <si>
    <t>SINAPI 72185</t>
  </si>
  <si>
    <t>SINAPI 88496</t>
  </si>
  <si>
    <t>SINAPI 87905</t>
  </si>
  <si>
    <t>SINAPI 87775</t>
  </si>
  <si>
    <t>SINAPI 88491</t>
  </si>
  <si>
    <t>SINAPI 88274</t>
  </si>
  <si>
    <t>SINAPI 345</t>
  </si>
  <si>
    <t>SINAPI 3315</t>
  </si>
  <si>
    <t>SINAPI 4812</t>
  </si>
  <si>
    <t>SINAPI 5066</t>
  </si>
  <si>
    <t>SINAPI 20250</t>
  </si>
  <si>
    <t>SINAPI 88269</t>
  </si>
  <si>
    <t>SINAPI 74131/005</t>
  </si>
  <si>
    <t>SINAPI 93654</t>
  </si>
  <si>
    <t>SINAPI 93663</t>
  </si>
  <si>
    <t>SINAPI 74130/010</t>
  </si>
  <si>
    <t>SINAPI 91953</t>
  </si>
  <si>
    <t>SINAPI 92023</t>
  </si>
  <si>
    <t>SINAPI 92027</t>
  </si>
  <si>
    <t>SINAPI 91926</t>
  </si>
  <si>
    <t>SINAPI 91928</t>
  </si>
  <si>
    <t>SINAPI 91930</t>
  </si>
  <si>
    <t>SINAPI 91932</t>
  </si>
  <si>
    <t>SINAPI 91934</t>
  </si>
  <si>
    <t>SINAPI 92995</t>
  </si>
  <si>
    <t>SINAPI 92989</t>
  </si>
  <si>
    <t>SINAPI 97599</t>
  </si>
  <si>
    <t>SINAPI 72254</t>
  </si>
  <si>
    <t>SINAPI 72253</t>
  </si>
  <si>
    <t>SINAPI 72251</t>
  </si>
  <si>
    <t>SINAPI 72315</t>
  </si>
  <si>
    <t>SINAPI 72262</t>
  </si>
  <si>
    <t>SINAPI 95789</t>
  </si>
  <si>
    <t>SINAPI 88266</t>
  </si>
  <si>
    <t>SINAPI 88247</t>
  </si>
  <si>
    <t>SETOP REL-TEC-150</t>
  </si>
  <si>
    <t>SETOP IIO-CON-015</t>
  </si>
  <si>
    <t>SETOP IIO-CON-025</t>
  </si>
  <si>
    <t>SETOP IIO-CON-045+IIO-CON-040</t>
  </si>
  <si>
    <t>SETOP IIO-TAP-010</t>
  </si>
  <si>
    <t>SETOP DEM-PIS-020</t>
  </si>
  <si>
    <t>SETOP DEM-POR-030</t>
  </si>
  <si>
    <t>SETOP DEM-POR-015</t>
  </si>
  <si>
    <t>SETOP RAS-ALV-020</t>
  </si>
  <si>
    <t>SETOP DEM-RED-010</t>
  </si>
  <si>
    <t>SETOP MOB-DES-025</t>
  </si>
  <si>
    <t>SETOP TRA-CAM-020</t>
  </si>
  <si>
    <t>SETOP TRA-CAR-010</t>
  </si>
  <si>
    <t>SETOP EST-CON-020</t>
  </si>
  <si>
    <t>SETOP SER-JAN-020</t>
  </si>
  <si>
    <t>SETOP OBR-VIA-435</t>
  </si>
  <si>
    <t>SETOP PIN-ESM-030</t>
  </si>
  <si>
    <t>SETOP HID-GRE-015</t>
  </si>
  <si>
    <t>SETOP PIS-CON-005</t>
  </si>
  <si>
    <t>SETOP ROD-GRA-005</t>
  </si>
  <si>
    <t>SETOP PIS-FAI-005</t>
  </si>
  <si>
    <t>SETOP PIS-LAD-035</t>
  </si>
  <si>
    <t>SETOP PIS-LAD-040</t>
  </si>
  <si>
    <t>SETOP REV-GRA-005</t>
  </si>
  <si>
    <t>SETOP PIS-MIT-025</t>
  </si>
  <si>
    <t>SETOP ELE-QUA-006</t>
  </si>
  <si>
    <t>SETOP ELE-DIS-040</t>
  </si>
  <si>
    <t>SETOP ELE-DIS-041</t>
  </si>
  <si>
    <t>SETOP ELE-DIS-043</t>
  </si>
  <si>
    <t>SETOP ELE-SUP-005</t>
  </si>
  <si>
    <t>SETOP ELE-CAL-075</t>
  </si>
  <si>
    <t>SETOP ELE-CAL-065</t>
  </si>
  <si>
    <t>SETOP ELE-ELE-040</t>
  </si>
  <si>
    <t>SETOP ELE-PER-070</t>
  </si>
  <si>
    <t>SETOP ELE-CXS-190</t>
  </si>
  <si>
    <t>SETOP ELE-CXS-025</t>
  </si>
  <si>
    <t>SETOP ELE-CXS-030</t>
  </si>
  <si>
    <t>SETOP ELE-CXS-070</t>
  </si>
  <si>
    <t>SETOP ELE-CON-260</t>
  </si>
  <si>
    <t>SETOP ELE-PER-080</t>
  </si>
  <si>
    <t>SETOP ELE-PER-050</t>
  </si>
  <si>
    <t>SETOP ELE-PER-045</t>
  </si>
  <si>
    <t>SETOP ELE-LUM-041</t>
  </si>
  <si>
    <t>SETOP SPDA-ATE-005</t>
  </si>
  <si>
    <t>SETOP SPDA-CON-005</t>
  </si>
  <si>
    <t>SETOP SPDA-SOL-005</t>
  </si>
  <si>
    <t>SETOP SPDA-CXS-005</t>
  </si>
  <si>
    <t>SETOP SPDA-PRE-015</t>
  </si>
  <si>
    <t>SETOP SPDA-PRO-005</t>
  </si>
  <si>
    <t>SETOP ELE-CAB-165</t>
  </si>
  <si>
    <t>SETOP ELE-CAB-170</t>
  </si>
  <si>
    <t>SETOP ELE-CAB-155</t>
  </si>
  <si>
    <t>SETOP ELE-CAL-035</t>
  </si>
  <si>
    <t>SETOP ELE-CAL-030</t>
  </si>
  <si>
    <t>SETOP ELE-CAL-025</t>
  </si>
  <si>
    <t>SETOP ELE-CON-018</t>
  </si>
  <si>
    <t>SETOP ELE-CON-045</t>
  </si>
  <si>
    <t>SETOP ELE-CXS-026</t>
  </si>
  <si>
    <t>SETOP CAB-CAB-015</t>
  </si>
  <si>
    <t>SETOP ELE-CXS-145</t>
  </si>
  <si>
    <t>SETOP CAB-PATCH-010</t>
  </si>
  <si>
    <t>Válvula para pia em metal cromado - 1", fornecimento e instalação</t>
  </si>
  <si>
    <t>Caixa de gordura DN 100</t>
  </si>
  <si>
    <t>SINAPI 86909</t>
  </si>
  <si>
    <t>SINAPI 89985</t>
  </si>
  <si>
    <t>SINAPI 89482</t>
  </si>
  <si>
    <t>SINAPI 86877</t>
  </si>
  <si>
    <t>SINAPI 86881</t>
  </si>
  <si>
    <t>SINAPI 34640</t>
  </si>
  <si>
    <t>SINAPI 3146</t>
  </si>
  <si>
    <t>SINAPI 88267</t>
  </si>
  <si>
    <t>SINAPI 88248</t>
  </si>
  <si>
    <t>SINAPI 1379</t>
  </si>
  <si>
    <t>SINAPI 35277</t>
  </si>
  <si>
    <t>SINAPI 20147</t>
  </si>
  <si>
    <t>SINAPI 88264</t>
  </si>
  <si>
    <t>SINAPI 4823</t>
  </si>
  <si>
    <t>Caixa d'água de Polietileno 2000 (dois mil litros)</t>
  </si>
  <si>
    <t>Hidrante de recalque completo: registro globo angular diametro 63mm , adaptador de rosca 5 fios x engate rápido (STORZ) diâmetro 63mm, tampão de engate rapido diametro 63mm com corrente, tampa de passeio em ferro fundido nas dimensões (40x60)cm, contendo a inscrição INCENDIO.</t>
  </si>
  <si>
    <t>SETOP INC-ADP-005</t>
  </si>
  <si>
    <t>SETOP INC-ESG-005</t>
  </si>
  <si>
    <t>SETOP INC-ABR-005</t>
  </si>
  <si>
    <t>SETOP INC-HID-005</t>
  </si>
  <si>
    <t>SETOP INC-BOM-005</t>
  </si>
  <si>
    <t>SETOP INC-BOM-010</t>
  </si>
  <si>
    <t>SETOP INC-MAN-020</t>
  </si>
  <si>
    <t>SETOP INC-BOM-015</t>
  </si>
  <si>
    <t>SETOP INC-BOM-025</t>
  </si>
  <si>
    <t>SETOP INC-BOM-030</t>
  </si>
  <si>
    <t>SETOP HID-TUB-095</t>
  </si>
  <si>
    <t>SETOP HID-TUB-105</t>
  </si>
  <si>
    <t>SETOP HID-TUB-125</t>
  </si>
  <si>
    <t>SETOP INC-PLA-005</t>
  </si>
  <si>
    <t>SETOP INC-PLA-010</t>
  </si>
  <si>
    <t>SETOP INC-PLA-025</t>
  </si>
  <si>
    <t>SINAPI 3268</t>
  </si>
  <si>
    <t>SETOP ELE-CAB-240</t>
  </si>
  <si>
    <t>SETOP ELE-CAB-230</t>
  </si>
  <si>
    <t>SINAPI 88279</t>
  </si>
  <si>
    <t>SINAPI 88252</t>
  </si>
  <si>
    <t>SINAPI 868</t>
  </si>
  <si>
    <t>SINAPI 2680+1893</t>
  </si>
  <si>
    <t>SINAPI 34616</t>
  </si>
  <si>
    <t>SINAPI 34714</t>
  </si>
  <si>
    <t>SINAPI 3380</t>
  </si>
  <si>
    <t>SINAPI 13393</t>
  </si>
  <si>
    <t>SINAPI 88629</t>
  </si>
  <si>
    <t>SINAPI 39666</t>
  </si>
  <si>
    <t>SINAPI 21127</t>
  </si>
  <si>
    <t>SINAPI 39665</t>
  </si>
  <si>
    <t>SINAPI 39664</t>
  </si>
  <si>
    <t>SINAPI 39662</t>
  </si>
  <si>
    <t>SINAPI 11051</t>
  </si>
  <si>
    <t>SINAPI 91169</t>
  </si>
  <si>
    <t>SINAPI 21135</t>
  </si>
  <si>
    <t>SINAPI 91173</t>
  </si>
  <si>
    <t>SINAPI 21130</t>
  </si>
  <si>
    <t>SINAPI 21136</t>
  </si>
  <si>
    <t>SINAPI 21128</t>
  </si>
  <si>
    <t>SINAPI 90456</t>
  </si>
  <si>
    <t>SINAPI 90466</t>
  </si>
  <si>
    <t>SINAPI 91862</t>
  </si>
  <si>
    <t>SINAPI 91937</t>
  </si>
  <si>
    <t>SINAPI 91940</t>
  </si>
  <si>
    <t>SINAPI 38055</t>
  </si>
  <si>
    <t>Cabo de cobre nu, 25mm²</t>
  </si>
  <si>
    <t>Disjuntor tripolar DIN, 15A</t>
  </si>
  <si>
    <t>Eletroduto PVC rigido roscavel,3/4'', com luva</t>
  </si>
  <si>
    <t>SINAPI 92981</t>
  </si>
  <si>
    <t>Eletroduto para encaminhamento, 3/4'', com luva</t>
  </si>
  <si>
    <t>Cabo de cobre flexível isolado, 16 mm², anti-chama 450/750 v,</t>
  </si>
  <si>
    <t>Cabo de cobre flexível isolado, 2,5 mm², anti-chama 450/750 v</t>
  </si>
  <si>
    <t>SINAPI 2674+1891</t>
  </si>
  <si>
    <t>SINAPI 93668</t>
  </si>
  <si>
    <t>16.8.1</t>
  </si>
  <si>
    <t>16.8.2</t>
  </si>
  <si>
    <t>16.8.3</t>
  </si>
  <si>
    <t>16.8.4</t>
  </si>
  <si>
    <t>16.8.5</t>
  </si>
  <si>
    <t>16.8.6</t>
  </si>
  <si>
    <t>16.8.7</t>
  </si>
  <si>
    <t>16.8.8</t>
  </si>
  <si>
    <t>16.8.9</t>
  </si>
  <si>
    <t>16.8.10</t>
  </si>
  <si>
    <t>16.8.11</t>
  </si>
  <si>
    <t>16.8.12</t>
  </si>
  <si>
    <t>16.8.13</t>
  </si>
  <si>
    <t>16.8.14</t>
  </si>
  <si>
    <t>16.9.1</t>
  </si>
  <si>
    <t>16.9.2</t>
  </si>
  <si>
    <t>16.9.3</t>
  </si>
  <si>
    <t>16.9.4</t>
  </si>
  <si>
    <t>16.9.5</t>
  </si>
  <si>
    <t>16.9.6</t>
  </si>
  <si>
    <t>16.9.7</t>
  </si>
  <si>
    <t>16.9.8</t>
  </si>
  <si>
    <t>16.9.9</t>
  </si>
  <si>
    <t>16.9.10</t>
  </si>
  <si>
    <t>16.9.11</t>
  </si>
  <si>
    <t>16.9.12</t>
  </si>
  <si>
    <t>16.9.13</t>
  </si>
  <si>
    <t>16.9.14</t>
  </si>
  <si>
    <t>16.10.1</t>
  </si>
  <si>
    <t>16.10.2</t>
  </si>
  <si>
    <t>16.10.3</t>
  </si>
  <si>
    <t>16.10.4</t>
  </si>
  <si>
    <t>16.10.5</t>
  </si>
  <si>
    <t>16.10.7</t>
  </si>
  <si>
    <t>16.10.8</t>
  </si>
  <si>
    <t>16.10.9</t>
  </si>
  <si>
    <t>16.10.10</t>
  </si>
  <si>
    <t>16.10.11</t>
  </si>
  <si>
    <t>16.10.12</t>
  </si>
  <si>
    <t>16.10.13</t>
  </si>
  <si>
    <t>Supressor de surto VCL 275V 20KA Slim, Classe 2, fornecimento e instalação</t>
  </si>
  <si>
    <t>SINAPI 97663</t>
  </si>
  <si>
    <t>SINAPI 97666</t>
  </si>
  <si>
    <t>SINAPI 96527</t>
  </si>
  <si>
    <t>SINAPI 93382</t>
  </si>
  <si>
    <t>SINAPI 84659</t>
  </si>
  <si>
    <t>SINAPI 73924/002</t>
  </si>
  <si>
    <t>SINAPI 88411</t>
  </si>
  <si>
    <t>SINAPI 73924/001 + 74064/002</t>
  </si>
  <si>
    <t>SINAPI 87265</t>
  </si>
  <si>
    <t>SINAPI 89352</t>
  </si>
  <si>
    <t>SINAPI 94495</t>
  </si>
  <si>
    <t>SINAPI 94499</t>
  </si>
  <si>
    <t>Projetos as built - Arquitetônico</t>
  </si>
  <si>
    <t>Projetos as built - Climatização</t>
  </si>
  <si>
    <t>Projetos as built - Elétrico</t>
  </si>
  <si>
    <t>Projetos as built - Hidraúlico</t>
  </si>
  <si>
    <t>Projetos as built - Incêndio</t>
  </si>
  <si>
    <t>Projetos as built - SPDA</t>
  </si>
  <si>
    <t>Disjuntor bipolar, 16A</t>
  </si>
  <si>
    <t>Rodapé h= 7 cm em madeira Angelim Pedra</t>
  </si>
  <si>
    <t>Lã mineral esp. 50mm</t>
  </si>
  <si>
    <r>
      <t xml:space="preserve">TABELA SETOP: </t>
    </r>
    <r>
      <rPr>
        <sz val="14"/>
        <rFont val="Arial"/>
        <family val="2"/>
      </rPr>
      <t>MARÇO/2018</t>
    </r>
  </si>
  <si>
    <r>
      <t xml:space="preserve">DATA: </t>
    </r>
    <r>
      <rPr>
        <sz val="14"/>
        <rFont val="Arial"/>
        <family val="2"/>
      </rPr>
      <t>15/06/2018</t>
    </r>
  </si>
  <si>
    <t>SINAPI 97624</t>
  </si>
  <si>
    <t>SINAPI 97626</t>
  </si>
  <si>
    <t>SINAPI 85421</t>
  </si>
  <si>
    <t>SINAPI 97638</t>
  </si>
  <si>
    <t>SINAPI 90443</t>
  </si>
  <si>
    <t>SINAPI 97631</t>
  </si>
  <si>
    <t>SINAPI 87493</t>
  </si>
  <si>
    <t>M²</t>
  </si>
  <si>
    <t>SINAPI 98397</t>
  </si>
  <si>
    <t>Soleira em granito, polido, tipo andorinha/ quartz/ castelo/ corumba ou outros equivalentes da regiao, l= *15* cm, e= *2,0* cm</t>
  </si>
  <si>
    <t>SINAPI 20232</t>
  </si>
  <si>
    <t>Argamassa traço 1:4 (cimento e areia média) para contrapiso, preparo manual.</t>
  </si>
  <si>
    <t>SINAPI 87373</t>
  </si>
  <si>
    <t>10.1.1.1</t>
  </si>
  <si>
    <t>10.1.1.2</t>
  </si>
  <si>
    <t>10.1.1.3</t>
  </si>
  <si>
    <t>10.1.1.4</t>
  </si>
  <si>
    <t>SINAPI 87248</t>
  </si>
  <si>
    <t>SINAPI 73886/001</t>
  </si>
  <si>
    <t>10.3.5.1</t>
  </si>
  <si>
    <t>10.3.5.2</t>
  </si>
  <si>
    <t>10.3.5.3</t>
  </si>
  <si>
    <t>10.3.5.4</t>
  </si>
  <si>
    <t>Granito cinza andorinha e = 2 cm</t>
  </si>
  <si>
    <t>Disjuntor tripolar termomagnético 10 KA, de 60A, fornecimento e instalação</t>
  </si>
  <si>
    <t>11.13.1</t>
  </si>
  <si>
    <t>11.13.2</t>
  </si>
  <si>
    <t>11.13.3</t>
  </si>
  <si>
    <t>perfilado em chapa de aço perfurado (largura: 38,00 mm / altura: 38,00 mm)</t>
  </si>
  <si>
    <t xml:space="preserve">ajudante de eletricista </t>
  </si>
  <si>
    <t xml:space="preserve">eletricista </t>
  </si>
  <si>
    <t>Eletroduto PVC rigido cinza, rosca, inclusive conexões 32mm, fornecimento e instalação</t>
  </si>
  <si>
    <t>Eletroduto PVC rigido cinza, rosca, inclusive conexões 40mm, fornecimento e instalação</t>
  </si>
  <si>
    <t>Eletroduto PVC rigido cinza, rosca, 32mm</t>
  </si>
  <si>
    <t>Eletroduto PVC rigido cinza, rosca, 25mm</t>
  </si>
  <si>
    <t>Eletroduto PVC rigido cinza, rosca, 40mm</t>
  </si>
  <si>
    <t>11.14.1</t>
  </si>
  <si>
    <t>11.15.1</t>
  </si>
  <si>
    <t>11.16.1</t>
  </si>
  <si>
    <t>11.14.2</t>
  </si>
  <si>
    <t>11.14.3</t>
  </si>
  <si>
    <t>11.15.2</t>
  </si>
  <si>
    <t>11.15.3</t>
  </si>
  <si>
    <t>11.16.2</t>
  </si>
  <si>
    <t>11.16.3</t>
  </si>
  <si>
    <t>SINAPI 95811</t>
  </si>
  <si>
    <t>11.59</t>
  </si>
  <si>
    <t>SINAPI 97607</t>
  </si>
  <si>
    <t>13.7.1</t>
  </si>
  <si>
    <t>13.7.2</t>
  </si>
  <si>
    <t>13.7.3</t>
  </si>
  <si>
    <t>13.8.1</t>
  </si>
  <si>
    <t>13.8.2</t>
  </si>
  <si>
    <t>13.8.3</t>
  </si>
  <si>
    <t>13.9.1</t>
  </si>
  <si>
    <t>13.9.2</t>
  </si>
  <si>
    <t>13.9.3</t>
  </si>
  <si>
    <t>SINAPI 98307</t>
  </si>
  <si>
    <t>SINAPI 98302</t>
  </si>
  <si>
    <t>SINAPI 73749/001</t>
  </si>
  <si>
    <t>Solução limpadora para pvc rígido</t>
  </si>
  <si>
    <t>Adesivo para tubo de pvc rígido</t>
  </si>
  <si>
    <t>Pasta lubrificante para tubo de pvc</t>
  </si>
  <si>
    <t>Ajudante de bombeiro/encanador</t>
  </si>
  <si>
    <t>14.10.1</t>
  </si>
  <si>
    <t>14.10.2</t>
  </si>
  <si>
    <t>14.10.3</t>
  </si>
  <si>
    <t>14.10.4</t>
  </si>
  <si>
    <t>14.10.5</t>
  </si>
  <si>
    <t>14.11.1</t>
  </si>
  <si>
    <t>14.11.2</t>
  </si>
  <si>
    <t>14.11.3</t>
  </si>
  <si>
    <t>14.11.4</t>
  </si>
  <si>
    <t>14.11.5</t>
  </si>
  <si>
    <t>14.12.1</t>
  </si>
  <si>
    <t>14.12.2</t>
  </si>
  <si>
    <t>14.12.3</t>
  </si>
  <si>
    <t>14.12.4</t>
  </si>
  <si>
    <t>14.12.5</t>
  </si>
  <si>
    <t>14.13.1</t>
  </si>
  <si>
    <t>14.13.2</t>
  </si>
  <si>
    <t>14.13.3</t>
  </si>
  <si>
    <t>14.13.4</t>
  </si>
  <si>
    <t>14.14.1</t>
  </si>
  <si>
    <t>14.14.2</t>
  </si>
  <si>
    <t>14.14.3</t>
  </si>
  <si>
    <t>14.14.4</t>
  </si>
  <si>
    <t>14.15.1</t>
  </si>
  <si>
    <t>14.15.2</t>
  </si>
  <si>
    <t>14.15.3</t>
  </si>
  <si>
    <t>14.15.4</t>
  </si>
  <si>
    <t>SINAPI 20083</t>
  </si>
  <si>
    <t>SINAPI 4791</t>
  </si>
  <si>
    <t>SINAPI 20078</t>
  </si>
  <si>
    <t>SINAPI 9868</t>
  </si>
  <si>
    <t>SINAPI 9874</t>
  </si>
  <si>
    <t>SINAPI 9875</t>
  </si>
  <si>
    <t>SINAPI 9841</t>
  </si>
  <si>
    <t>SINAPI 9839</t>
  </si>
  <si>
    <t>SINAPI 9840</t>
  </si>
  <si>
    <t>tubo rígido com ponta lisa - 150 mm</t>
  </si>
  <si>
    <t>tubo rígido com ponta lisa - 100 mm</t>
  </si>
  <si>
    <t>tubo rígido com ponta lisa - 75 mm</t>
  </si>
  <si>
    <t>tubo rígido com ponta lisa - 50 mm</t>
  </si>
  <si>
    <t>tubo rígido com ponta lisa - 40 mm</t>
  </si>
  <si>
    <t>tubo rígido com ponta lisa - 25 mm</t>
  </si>
  <si>
    <t>SINAPI 74169/001</t>
  </si>
  <si>
    <t>SINAPI 71516</t>
  </si>
  <si>
    <t>SINAPI 73775/002</t>
  </si>
  <si>
    <t>SINAPI 73795/013</t>
  </si>
  <si>
    <t>Válvula de registro de gaveta, diâmetro= 15 mm (1/2").</t>
  </si>
  <si>
    <t>Válvula de registro de gaveta, diâmetro=60 mm (2 1/2")</t>
  </si>
  <si>
    <t>SINAPI 95544</t>
  </si>
  <si>
    <t>SINAPI 95547</t>
  </si>
  <si>
    <t>SINAPI 34674</t>
  </si>
  <si>
    <t>SINAPI 1339</t>
  </si>
  <si>
    <t>SINAPI 1340</t>
  </si>
  <si>
    <t>SINAPI 79498/001</t>
  </si>
  <si>
    <t>SINAPI 1319</t>
  </si>
  <si>
    <t>SINAPI 73548</t>
  </si>
  <si>
    <t>SINAPI 88903</t>
  </si>
  <si>
    <t>SETOP SEE-ARM-005</t>
  </si>
  <si>
    <t>SETOP BAN-GRA-010</t>
  </si>
  <si>
    <t>SETOP BAN-ROD-010</t>
  </si>
  <si>
    <t>SETOP PEI-GRA-005</t>
  </si>
  <si>
    <t>SETOP ACE-PAP-025</t>
  </si>
  <si>
    <r>
      <t xml:space="preserve">TABELA SINAPI: </t>
    </r>
    <r>
      <rPr>
        <sz val="14"/>
        <rFont val="Arial"/>
        <family val="2"/>
      </rPr>
      <t>MAIO/2018</t>
    </r>
  </si>
  <si>
    <t>SINAPI 73910/008</t>
  </si>
  <si>
    <t>SINAPI 25981</t>
  </si>
  <si>
    <t>14.6.1</t>
  </si>
  <si>
    <t>14.6.2</t>
  </si>
  <si>
    <t>14.6.3</t>
  </si>
  <si>
    <t>14.6.4</t>
  </si>
  <si>
    <t>14.6.5</t>
  </si>
  <si>
    <t>14.6.6</t>
  </si>
  <si>
    <t>areia media - posto jazida/fornecedor (retirado na jazida, sem transporte)</t>
  </si>
  <si>
    <t>cimento portland pozolanico cp iv- 32</t>
  </si>
  <si>
    <t>pedra britada n. 1 (9,5 a 19 mm) posto pedreira/fornecedor, sem frete</t>
  </si>
  <si>
    <t>bloco ceramico (alvenaria de vedacao), 8 furos, de 9 x 19 x 19 cm</t>
  </si>
  <si>
    <t>saco</t>
  </si>
  <si>
    <t>SINAPI 370</t>
  </si>
  <si>
    <t>SINAPI 1382</t>
  </si>
  <si>
    <t>SINAPI 4721</t>
  </si>
  <si>
    <t>SINAPI 7271</t>
  </si>
  <si>
    <t>SETOP ACE-BEB-015</t>
  </si>
  <si>
    <t>SETOP SER-COR-010</t>
  </si>
  <si>
    <t>SETOP SER-COR-007</t>
  </si>
  <si>
    <t>Tubo de aço galvanizado com costura (norma DIN 2440 ou NB 982 ), diâmetro 15 mm, inclusive conexões e suportes - fornecimento e instalação</t>
  </si>
  <si>
    <t>Tubo de aço galvanizado , c/ costura (norma DIN 2440 ou NB 982), diâmetro 25 mm, inclusive conexões e suportes - fornecimento e instalação</t>
  </si>
  <si>
    <t>Tubo de aço galvanizado , c/ costura (norma DIN 2440 ou NB 982), diâmetro 65 mm, inclusive conexões e suportes - fornecimento e instalação</t>
  </si>
  <si>
    <t>Rede de dutos em chapa galvanizada,  #26 (m)</t>
  </si>
  <si>
    <t>ALVENARIA E VEDAÇÃO</t>
  </si>
  <si>
    <t>SINAPI 97655 + SINAPI 97649</t>
  </si>
  <si>
    <t>SINAPI 83733</t>
  </si>
  <si>
    <t>SINAPI 38365</t>
  </si>
  <si>
    <t>SINAPI 3408</t>
  </si>
  <si>
    <t>argamassa de cimento e areia média lavada com traço volumétrico de 1:3, armada com tela metálica galvanizada, conforme projeto</t>
  </si>
  <si>
    <t>SETOP IMP-CAM-005</t>
  </si>
  <si>
    <t>SINAPI 73762/002</t>
  </si>
  <si>
    <t>9.1.9.1</t>
  </si>
  <si>
    <t>9.1.9.2</t>
  </si>
  <si>
    <t>9.1.9.3</t>
  </si>
  <si>
    <t>9.1.9.4</t>
  </si>
  <si>
    <t>9.1.9.5</t>
  </si>
  <si>
    <t>Pisos impermeabilizados seguindo padrão (para lajes impermeabilizadas) - fornecimento e instalação, conforme projeto.</t>
  </si>
  <si>
    <t>9.1.9.6</t>
  </si>
  <si>
    <t>9.1.9.7</t>
  </si>
  <si>
    <t>Placa de poliestireno expandido com densidade aproximada de 25 Kg/m3, coeficiente de absorção térmica k&lt;0,030Kcal / mh°C, (P-3) espessura de fabricação 25 mm, apenas fornecimento</t>
  </si>
  <si>
    <t>Manta de polietileno expandido, com no mínimo 2 mm de espessura, lançada sobre a manta impermeabilizante antes do isolamento térmico, apenas fornecimento</t>
  </si>
  <si>
    <t>Pintura impermeabilizante composta de asfaltos modificados e solventes orgânicos e manta impermeabilizante com espessura mínima de 3 mm, composta de asfalto elastomérico SBS (estireno-but-estireno) estruturado  com véu de poliéster refinado e protegido em ambas as faces com filme de polietileno de alta densidade, conforme projeto</t>
  </si>
  <si>
    <t>UM MILHÃO, QUATROCENTOS E TRINTA E NOVE MIL, TREZENTOS E VINTE E DOIS REAIS E ONZE CENTAVOS</t>
  </si>
  <si>
    <t>Pisos impermeabilizados seguindo padrão (para lajes impermeabilizadas), conforme projeto, fornecimento e instalação</t>
  </si>
  <si>
    <t>argamassa de cimento e areia média lavada, traço volumétrico 1:3, com espessura mínima de 2 cm, regularização, conforme projeto</t>
  </si>
</sst>
</file>

<file path=xl/styles.xml><?xml version="1.0" encoding="utf-8"?>
<styleSheet xmlns="http://schemas.openxmlformats.org/spreadsheetml/2006/main">
  <numFmts count="5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_(* #,##0.00_);_(* \(#,##0.00\);_(* &quot;-&quot;??_);_(@_)"/>
    <numFmt numFmtId="167" formatCode="_(* #,##0.00_);_(* \(#,##0.00\);_(* \-??_);_(@_)"/>
    <numFmt numFmtId="168" formatCode="_(&quot;R$&quot;* #,##0.00_);_(&quot;R$&quot;* \(#,##0.00\);_(&quot;R$&quot;* \-??_);_(@_)"/>
    <numFmt numFmtId="169" formatCode="&quot;R$ &quot;#,##0.00"/>
    <numFmt numFmtId="170" formatCode="_([$R$ -416]* #,##0.00_);_([$R$ -416]* \(#,##0.00\);_([$R$ -416]* &quot;-&quot;??_);_(@_)"/>
    <numFmt numFmtId="171" formatCode="#,##0.000"/>
    <numFmt numFmtId="172" formatCode="&quot;R$&quot;\ #,##0.00"/>
    <numFmt numFmtId="173" formatCode="0.0%"/>
    <numFmt numFmtId="174" formatCode="_(&quot;R$&quot;* #,##0.00_);_(&quot;R$&quot;* \(#,##0.00\);_(&quot;R$&quot;* &quot;-&quot;??_);_(@_)"/>
    <numFmt numFmtId="175" formatCode="&quot;R$&quot;#,##0.00"/>
    <numFmt numFmtId="176" formatCode="0.0"/>
    <numFmt numFmtId="177" formatCode="#\,##0."/>
    <numFmt numFmtId="178" formatCode="#.00"/>
    <numFmt numFmtId="179" formatCode="0.000"/>
    <numFmt numFmtId="180" formatCode="_(* #,##0.000_);_(* \(#,##0.000\);_(* \-??_);_(@_)"/>
    <numFmt numFmtId="181" formatCode="&quot;R$&quot;#,##0.00_);[Red]\(&quot;R$&quot;#,##0.00\)"/>
    <numFmt numFmtId="182" formatCode="#\,##0.00"/>
    <numFmt numFmtId="183" formatCode="\$#.00"/>
    <numFmt numFmtId="184" formatCode="\$#."/>
    <numFmt numFmtId="185" formatCode="_(&quot;Cr$&quot;\ * #,##0.00_);_(&quot;Cr$&quot;\ * \(#,##0.00\);_(&quot;Cr$&quot;\ * &quot;-&quot;??_);_(@_)"/>
    <numFmt numFmtId="186" formatCode="%#.00"/>
    <numFmt numFmtId="187" formatCode="[$-416]mmmm\-yy;@"/>
    <numFmt numFmtId="188" formatCode="#."/>
    <numFmt numFmtId="189" formatCode="&quot;N$&quot;#,##0_);&quot;(N$&quot;#,##0\)"/>
    <numFmt numFmtId="190" formatCode="_(\$* #,##0_);_(\$* \(#,##0\);_(\$* \-_);_(@_)"/>
    <numFmt numFmtId="191" formatCode="_([$€-2]* #,##0.00_);_([$€-2]* \(#,##0.00\);_([$€-2]* \-??_)"/>
    <numFmt numFmtId="192" formatCode="_([$€]* #,##0.00_);_([$€]* \(#,##0.00\);_([$€]* \-??_);_(@_)"/>
    <numFmt numFmtId="193" formatCode="_(&quot;R$ &quot;* #,##0.00_);_(&quot;R$ &quot;* \(#,##0.00\);_(&quot;R$ &quot;* \-??_);_(@_)"/>
    <numFmt numFmtId="194" formatCode="#,##0.00_);[Red]#,##0.00"/>
    <numFmt numFmtId="195" formatCode="_(* #,##0_);_(* \(#,##0\);_(* \-_);_(@_)"/>
    <numFmt numFmtId="196" formatCode="_(&quot;Cr$ &quot;* #,##0.00_);_(&quot;Cr$ &quot;* \(#,##0.00\);_(&quot;Cr$ &quot;* \-??_);_(@_)"/>
    <numFmt numFmtId="197" formatCode="&quot;R$&quot;#,##0.00_);[Red]&quot;(R$&quot;#,##0.00\)"/>
    <numFmt numFmtId="198" formatCode="0.0000000"/>
    <numFmt numFmtId="199" formatCode="00"/>
    <numFmt numFmtId="200" formatCode="_(* #,##0.000_);_(* \(#,##0.000\);_(* \-???_);_(@_)"/>
    <numFmt numFmtId="201" formatCode="_-* #,##0.00_-;\-* #,##0.00_-;_-* \-??_-;_-@_-"/>
    <numFmt numFmtId="202" formatCode="#,##0.00\ ;&quot; (&quot;#,##0.00\);&quot; -&quot;#\ ;@\ "/>
    <numFmt numFmtId="203" formatCode="0.0000"/>
    <numFmt numFmtId="204" formatCode="_(&quot;R$ &quot;* #,##0_);_(&quot;R$ &quot;* \(#,##0\);_(&quot;R$ &quot;* &quot;-&quot;_);_(@_)"/>
    <numFmt numFmtId="205" formatCode="_(* #,##0_);_(* \(#,##0\);_(* &quot;-&quot;_);_(@_)"/>
    <numFmt numFmtId="206" formatCode="[$-416]dddd\,\ d&quot; de &quot;mmmm&quot; de &quot;yyyy"/>
    <numFmt numFmtId="207" formatCode="_-* #,##0.00000_-;\-* #,##0.00000_-;_-* &quot;-&quot;??_-;_-@_-"/>
    <numFmt numFmtId="208" formatCode="_-[$R$-416]\ * #,##0.00_-;\-[$R$-416]\ * #,##0.00_-;_-[$R$-416]\ * &quot;-&quot;??_-;_-@_-"/>
    <numFmt numFmtId="209" formatCode="0.00000"/>
    <numFmt numFmtId="210" formatCode="0.000000"/>
    <numFmt numFmtId="211" formatCode="&quot;Sim&quot;;&quot;Sim&quot;;&quot;Não&quot;"/>
    <numFmt numFmtId="212" formatCode="&quot;Verdadeiro&quot;;&quot;Verdadeiro&quot;;&quot;Falso&quot;"/>
    <numFmt numFmtId="213" formatCode="&quot;Ativado&quot;;&quot;Ativado&quot;;&quot;Desativado&quot;"/>
    <numFmt numFmtId="214" formatCode="[$€-2]\ #,##0.00_);[Red]\([$€-2]\ #,##0.00\)"/>
  </numFmts>
  <fonts count="73">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sz val="9"/>
      <name val="Arial"/>
      <family val="2"/>
    </font>
    <font>
      <b/>
      <sz val="11"/>
      <name val="Arial"/>
      <family val="2"/>
    </font>
    <font>
      <b/>
      <sz val="14"/>
      <name val="Arial"/>
      <family val="2"/>
    </font>
    <font>
      <b/>
      <sz val="12"/>
      <name val="Arial"/>
      <family val="2"/>
    </font>
    <font>
      <b/>
      <sz val="18"/>
      <name val="Arial"/>
      <family val="2"/>
    </font>
    <font>
      <b/>
      <sz val="16"/>
      <name val="Arial"/>
      <family val="2"/>
    </font>
    <font>
      <sz val="11"/>
      <name val="Calibri"/>
      <family val="2"/>
    </font>
    <font>
      <b/>
      <sz val="11"/>
      <color indexed="22"/>
      <name val="Arial"/>
      <family val="2"/>
    </font>
    <font>
      <b/>
      <sz val="16"/>
      <color indexed="22"/>
      <name val="Arial"/>
      <family val="2"/>
    </font>
    <font>
      <b/>
      <sz val="12"/>
      <color indexed="8"/>
      <name val="Arial"/>
      <family val="2"/>
    </font>
    <font>
      <b/>
      <sz val="14"/>
      <color indexed="8"/>
      <name val="Arial"/>
      <family val="2"/>
    </font>
    <font>
      <sz val="11"/>
      <name val="Arial"/>
      <family val="2"/>
    </font>
    <font>
      <sz val="10"/>
      <color indexed="8"/>
      <name val="Arial"/>
      <family val="2"/>
    </font>
    <font>
      <u val="single"/>
      <sz val="11"/>
      <color indexed="12"/>
      <name val="Calibri"/>
      <family val="2"/>
    </font>
    <font>
      <sz val="1"/>
      <color indexed="8"/>
      <name val="Courier"/>
      <family val="3"/>
    </font>
    <font>
      <sz val="10"/>
      <name val="MS Sans Serif"/>
      <family val="2"/>
    </font>
    <font>
      <sz val="10"/>
      <name val="Courier"/>
      <family val="3"/>
    </font>
    <font>
      <b/>
      <sz val="8"/>
      <name val="Times New Roman"/>
      <family val="1"/>
    </font>
    <font>
      <b/>
      <sz val="1"/>
      <color indexed="8"/>
      <name val="Courier"/>
      <family val="3"/>
    </font>
    <font>
      <u val="single"/>
      <sz val="10"/>
      <color indexed="12"/>
      <name val="Arial"/>
      <family val="2"/>
    </font>
    <font>
      <u val="single"/>
      <sz val="10"/>
      <color indexed="20"/>
      <name val="Arial"/>
      <family val="2"/>
    </font>
    <font>
      <b/>
      <sz val="10"/>
      <color indexed="8"/>
      <name val="Arial"/>
      <family val="2"/>
    </font>
    <font>
      <sz val="10"/>
      <color indexed="63"/>
      <name val="Arial"/>
      <family val="2"/>
    </font>
    <font>
      <sz val="9"/>
      <color indexed="10"/>
      <name val="Geneva"/>
      <family val="2"/>
    </font>
    <font>
      <sz val="12"/>
      <name val="Times New Roman"/>
      <family val="1"/>
    </font>
    <font>
      <b/>
      <sz val="11"/>
      <color indexed="10"/>
      <name val="Calibri"/>
      <family val="2"/>
    </font>
    <font>
      <sz val="1"/>
      <color indexed="8"/>
      <name val="Courier New"/>
      <family val="3"/>
    </font>
    <font>
      <sz val="1"/>
      <color indexed="16"/>
      <name val="Courier New"/>
      <family val="3"/>
    </font>
    <font>
      <b/>
      <sz val="18"/>
      <name val="Times New Roman"/>
      <family val="1"/>
    </font>
    <font>
      <b/>
      <sz val="8"/>
      <name val="Arial"/>
      <family val="2"/>
    </font>
    <font>
      <i/>
      <sz val="8"/>
      <color indexed="12"/>
      <name val="Arial"/>
      <family val="2"/>
    </font>
    <font>
      <b/>
      <sz val="1"/>
      <color indexed="16"/>
      <name val="Courier New"/>
      <family val="3"/>
    </font>
    <font>
      <b/>
      <sz val="15"/>
      <color indexed="62"/>
      <name val="Calibri"/>
      <family val="2"/>
    </font>
    <font>
      <b/>
      <sz val="13"/>
      <color indexed="62"/>
      <name val="Calibri"/>
      <family val="2"/>
    </font>
    <font>
      <b/>
      <sz val="11"/>
      <color indexed="62"/>
      <name val="Calibri"/>
      <family val="2"/>
    </font>
    <font>
      <sz val="11"/>
      <color indexed="19"/>
      <name val="Calibri"/>
      <family val="2"/>
    </font>
    <font>
      <sz val="10"/>
      <name val="Times New Roman"/>
      <family val="1"/>
    </font>
    <font>
      <sz val="1"/>
      <color indexed="18"/>
      <name val="Courier New"/>
      <family val="3"/>
    </font>
    <font>
      <b/>
      <sz val="9"/>
      <name val="Times New Roman"/>
      <family val="1"/>
    </font>
    <font>
      <b/>
      <sz val="18"/>
      <color indexed="62"/>
      <name val="Cambria"/>
      <family val="2"/>
    </font>
    <font>
      <b/>
      <sz val="1"/>
      <color indexed="8"/>
      <name val="Courier New"/>
      <family val="3"/>
    </font>
    <font>
      <sz val="14"/>
      <name val="Arial"/>
      <family val="2"/>
    </font>
    <font>
      <sz val="14"/>
      <color indexed="8"/>
      <name val="Calibri"/>
      <family val="2"/>
    </font>
    <font>
      <sz val="8"/>
      <color indexed="8"/>
      <name val="Courier New"/>
      <family val="3"/>
    </font>
    <font>
      <b/>
      <sz val="7"/>
      <color indexed="8"/>
      <name val="Arial"/>
      <family val="0"/>
    </font>
    <font>
      <u val="single"/>
      <sz val="10"/>
      <color theme="10"/>
      <name val="Arial"/>
      <family val="2"/>
    </font>
    <font>
      <u val="single"/>
      <sz val="10"/>
      <color theme="11"/>
      <name val="Arial"/>
      <family val="2"/>
    </font>
    <font>
      <sz val="11"/>
      <color theme="1"/>
      <name val="Calibri"/>
      <family val="2"/>
    </font>
    <font>
      <sz val="14"/>
      <color theme="1"/>
      <name val="Calibri"/>
      <family val="2"/>
    </font>
    <font>
      <b/>
      <sz val="18"/>
      <color theme="3"/>
      <name val="Cambria"/>
      <family val="2"/>
    </font>
    <font>
      <sz val="10"/>
      <color theme="1"/>
      <name val="Arial"/>
      <family val="2"/>
    </font>
    <font>
      <sz val="8"/>
      <color rgb="FF000000"/>
      <name val="Courier New"/>
      <family val="3"/>
    </font>
  </fonts>
  <fills count="61">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0"/>
        <bgColor indexed="64"/>
      </patternFill>
    </fill>
    <fill>
      <patternFill patternType="solid">
        <fgColor indexed="53"/>
        <bgColor indexed="64"/>
      </patternFill>
    </fill>
    <fill>
      <patternFill patternType="solid">
        <fgColor indexed="20"/>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55"/>
        <bgColor indexed="64"/>
      </patternFill>
    </fill>
    <fill>
      <patternFill patternType="solid">
        <fgColor indexed="34"/>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000"/>
        <bgColor indexed="64"/>
      </patternFill>
    </fill>
    <fill>
      <patternFill patternType="solid">
        <fgColor indexed="22"/>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indexed="10"/>
      </bottom>
    </border>
    <border>
      <left/>
      <right/>
      <top/>
      <bottom style="thick">
        <color indexed="62"/>
      </bottom>
    </border>
    <border>
      <left/>
      <right/>
      <top/>
      <bottom style="thick">
        <color indexed="56"/>
      </bottom>
    </border>
    <border>
      <left/>
      <right/>
      <top/>
      <bottom style="thick">
        <color indexed="22"/>
      </bottom>
    </border>
    <border>
      <left/>
      <right/>
      <top/>
      <bottom style="thick">
        <color indexed="27"/>
      </bottom>
    </border>
    <border>
      <left/>
      <right/>
      <top/>
      <bottom style="medium">
        <color indexed="30"/>
      </bottom>
    </border>
    <border>
      <left/>
      <right/>
      <top/>
      <bottom style="medium">
        <color indexed="27"/>
      </bottom>
    </border>
    <border>
      <left/>
      <right/>
      <top/>
      <bottom style="medium">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right style="thin"/>
      <top style="double"/>
      <bottom>
        <color indexed="63"/>
      </bottom>
    </border>
    <border>
      <left style="thin">
        <color indexed="8"/>
      </left>
      <right style="thin">
        <color indexed="8"/>
      </right>
      <top style="thin">
        <color indexed="8"/>
      </top>
      <bottom style="thin">
        <color indexed="8"/>
      </bottom>
    </border>
    <border>
      <left/>
      <right/>
      <top/>
      <bottom style="thick">
        <color indexed="49"/>
      </bottom>
    </border>
    <border>
      <left/>
      <right/>
      <top/>
      <bottom style="medium">
        <color indexed="49"/>
      </bottom>
    </border>
    <border>
      <left/>
      <right/>
      <top style="thin">
        <color indexed="62"/>
      </top>
      <bottom style="double">
        <color indexed="62"/>
      </bottom>
    </border>
    <border>
      <left/>
      <right/>
      <top style="thin">
        <color indexed="56"/>
      </top>
      <bottom style="double">
        <color indexed="56"/>
      </bottom>
    </border>
    <border>
      <left/>
      <right/>
      <top style="thin">
        <color indexed="49"/>
      </top>
      <bottom style="double">
        <color indexed="49"/>
      </bottom>
    </border>
    <border>
      <left style="medium"/>
      <right/>
      <top style="medium"/>
      <bottom style="medium"/>
    </border>
    <border>
      <left style="medium"/>
      <right style="medium"/>
      <top style="medium"/>
      <bottom style="medium"/>
    </border>
    <border>
      <left/>
      <right/>
      <top style="medium"/>
      <bottom style="medium"/>
    </border>
    <border>
      <left style="medium"/>
      <right/>
      <top/>
      <bottom/>
    </border>
    <border>
      <left style="medium"/>
      <right/>
      <top/>
      <bottom style="medium"/>
    </border>
    <border>
      <left/>
      <right/>
      <top/>
      <bottom style="medium"/>
    </border>
    <border>
      <left style="thin"/>
      <right style="thin"/>
      <top style="thin"/>
      <bottom style="thin"/>
    </border>
    <border>
      <left style="thin"/>
      <right style="thin"/>
      <top/>
      <bottom style="thin"/>
    </border>
    <border>
      <left style="medium"/>
      <right style="medium"/>
      <top style="medium"/>
      <bottom style="thin"/>
    </border>
    <border>
      <left style="medium"/>
      <right style="medium"/>
      <top style="thin"/>
      <bottom style="medium"/>
    </border>
    <border>
      <left style="thin"/>
      <right style="thin"/>
      <top style="thin"/>
      <bottom/>
    </border>
    <border>
      <left style="medium"/>
      <right/>
      <top style="medium"/>
      <bottom/>
    </border>
    <border>
      <left style="medium"/>
      <right style="medium"/>
      <top style="medium"/>
      <bottom/>
    </border>
    <border>
      <left style="medium"/>
      <right style="medium"/>
      <top>
        <color indexed="63"/>
      </top>
      <bottom style="medium"/>
    </border>
    <border>
      <left style="thin"/>
      <right style="thin"/>
      <top style="thin"/>
      <bottom style="medium"/>
    </border>
    <border>
      <left style="thin"/>
      <right style="thin"/>
      <top style="medium"/>
      <bottom style="thin"/>
    </border>
    <border>
      <left/>
      <right/>
      <top style="medium"/>
      <bottom/>
    </border>
    <border>
      <left style="medium"/>
      <right style="thin"/>
      <top>
        <color indexed="63"/>
      </top>
      <bottom style="thin"/>
    </border>
    <border>
      <left style="thin"/>
      <right style="medium"/>
      <top/>
      <bottom style="thin"/>
    </border>
    <border>
      <left style="medium"/>
      <right style="thin"/>
      <top style="thin"/>
      <bottom style="thin"/>
    </border>
    <border>
      <left style="thin"/>
      <right style="medium"/>
      <top style="thin"/>
      <bottom style="thin"/>
    </border>
    <border>
      <left/>
      <right style="medium"/>
      <top/>
      <bottom/>
    </border>
    <border>
      <left style="medium"/>
      <right style="medium"/>
      <top>
        <color indexed="63"/>
      </top>
      <bottom>
        <color indexed="63"/>
      </bottom>
    </border>
    <border>
      <left style="thin"/>
      <right/>
      <top style="thin"/>
      <bottom style="thin"/>
    </border>
    <border>
      <left style="thin"/>
      <right style="medium"/>
      <top style="medium"/>
      <bottom style="thin"/>
    </border>
    <border>
      <left style="thin"/>
      <right>
        <color indexed="63"/>
      </right>
      <top/>
      <bottom style="thin"/>
    </border>
    <border>
      <left/>
      <right style="medium"/>
      <top style="medium"/>
      <bottom/>
    </border>
    <border>
      <left/>
      <right style="medium"/>
      <top/>
      <bottom style="medium"/>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style="thin"/>
      <right style="thin"/>
      <top style="medium"/>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medium"/>
    </border>
    <border>
      <left style="medium"/>
      <right style="thin"/>
      <top style="medium"/>
      <bottom style="thin"/>
    </border>
    <border>
      <left style="medium"/>
      <right style="thin"/>
      <top style="thin"/>
      <bottom style="medium"/>
    </border>
    <border>
      <left>
        <color indexed="63"/>
      </left>
      <right style="thin"/>
      <top style="thin"/>
      <bottom style="thin"/>
    </border>
    <border>
      <left style="medium"/>
      <right style="thin"/>
      <top style="thin"/>
      <bottom>
        <color indexed="63"/>
      </bottom>
    </border>
    <border>
      <left style="thin"/>
      <right>
        <color indexed="63"/>
      </right>
      <top style="medium"/>
      <bottom style="thin"/>
    </border>
    <border>
      <left style="medium"/>
      <right style="thin"/>
      <top>
        <color indexed="63"/>
      </top>
      <bottom>
        <color indexed="63"/>
      </bottom>
    </border>
    <border>
      <left style="medium"/>
      <right style="thin"/>
      <top style="medium"/>
      <bottom/>
    </border>
    <border>
      <left style="medium"/>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thin"/>
      <right style="medium"/>
      <top style="medium"/>
      <botto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bottom style="thin"/>
    </border>
    <border>
      <left style="medium"/>
      <right>
        <color indexed="63"/>
      </right>
      <top style="thin"/>
      <bottom style="medium"/>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color indexed="63"/>
      </bottom>
    </border>
  </borders>
  <cellStyleXfs count="23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167" fontId="2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87" fontId="1" fillId="3" borderId="0" applyNumberFormat="0" applyBorder="0" applyAlignment="0" applyProtection="0"/>
    <xf numFmtId="187"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87"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6" borderId="0" applyNumberFormat="0" applyBorder="0" applyAlignment="0" applyProtection="0"/>
    <xf numFmtId="187"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7" fontId="1" fillId="10" borderId="0" applyNumberFormat="0" applyBorder="0" applyAlignment="0" applyProtection="0"/>
    <xf numFmtId="187"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87"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187"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6" borderId="0" applyNumberFormat="0" applyBorder="0" applyAlignment="0" applyProtection="0"/>
    <xf numFmtId="187"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7" borderId="0" applyNumberFormat="0" applyBorder="0" applyAlignment="0" applyProtection="0"/>
    <xf numFmtId="187"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7"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87"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87"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87"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87"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87"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7"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7"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7"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87" fontId="1" fillId="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87"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87"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15"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7"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7"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7"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7" fontId="1" fillId="1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187"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21" borderId="0" applyNumberFormat="0" applyBorder="0" applyAlignment="0" applyProtection="0"/>
    <xf numFmtId="187"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7" fontId="1" fillId="23" borderId="0" applyNumberFormat="0" applyBorder="0" applyAlignment="0" applyProtection="0"/>
    <xf numFmtId="187"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7" fontId="1" fillId="23"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187"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3"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187"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20" borderId="0" applyNumberFormat="0" applyBorder="0" applyAlignment="0" applyProtection="0"/>
    <xf numFmtId="0" fontId="1" fillId="1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7" fontId="1" fillId="26" borderId="0" applyNumberFormat="0" applyBorder="0" applyAlignment="0" applyProtection="0"/>
    <xf numFmtId="187" fontId="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7" fontId="1" fillId="26"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4"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7" fontId="1" fillId="7"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187"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87" fontId="1" fillId="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87"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7"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7"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7" fontId="1" fillId="2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87"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7"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87" fontId="1" fillId="12"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7" fontId="1"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87"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87" fontId="1" fillId="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7" fontId="1"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7"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7"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87" fontId="1" fillId="25" borderId="0" applyNumberFormat="0" applyBorder="0" applyAlignment="0" applyProtection="0"/>
    <xf numFmtId="0" fontId="2" fillId="28" borderId="0" applyNumberFormat="0" applyBorder="0" applyAlignment="0" applyProtection="0"/>
    <xf numFmtId="187"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187" fontId="2" fillId="29" borderId="0" applyNumberFormat="0" applyBorder="0" applyAlignment="0" applyProtection="0"/>
    <xf numFmtId="0" fontId="2" fillId="15" borderId="0" applyNumberFormat="0" applyBorder="0" applyAlignment="0" applyProtection="0"/>
    <xf numFmtId="0" fontId="2" fillId="7" borderId="0" applyNumberFormat="0" applyBorder="0" applyAlignment="0" applyProtection="0"/>
    <xf numFmtId="187" fontId="2"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187" fontId="2" fillId="2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187" fontId="2" fillId="2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7" fontId="2" fillId="23"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187" fontId="2" fillId="3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87" fontId="2" fillId="3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187" fontId="2" fillId="28"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0" fontId="2" fillId="21" borderId="0" applyNumberFormat="0" applyBorder="0" applyAlignment="0" applyProtection="0"/>
    <xf numFmtId="0" fontId="2" fillId="7" borderId="0" applyNumberFormat="0" applyBorder="0" applyAlignment="0" applyProtection="0"/>
    <xf numFmtId="187" fontId="2" fillId="7"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87"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187" fontId="2" fillId="33"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187" fontId="2" fillId="35" borderId="0" applyNumberFormat="0" applyBorder="0" applyAlignment="0" applyProtection="0"/>
    <xf numFmtId="0" fontId="2" fillId="37" borderId="0" applyNumberFormat="0" applyBorder="0" applyAlignment="0" applyProtection="0"/>
    <xf numFmtId="187" fontId="2" fillId="3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187"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187"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187" fontId="2" fillId="41"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187" fontId="2" fillId="43"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187" fontId="2" fillId="43"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2" borderId="0" applyNumberFormat="0" applyBorder="0" applyAlignment="0" applyProtection="0"/>
    <xf numFmtId="0" fontId="2" fillId="44"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87" fontId="2" fillId="34" borderId="0" applyNumberFormat="0" applyBorder="0" applyAlignment="0" applyProtection="0"/>
    <xf numFmtId="0" fontId="2" fillId="30" borderId="0" applyNumberFormat="0" applyBorder="0" applyAlignment="0" applyProtection="0"/>
    <xf numFmtId="187" fontId="2" fillId="4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87" fontId="2" fillId="45" borderId="0" applyNumberFormat="0" applyBorder="0" applyAlignment="0" applyProtection="0"/>
    <xf numFmtId="0" fontId="2" fillId="40" borderId="0" applyNumberFormat="0" applyBorder="0" applyAlignment="0" applyProtection="0"/>
    <xf numFmtId="0" fontId="0" fillId="0" borderId="0" applyNumberFormat="0" applyBorder="0" applyAlignment="0">
      <protection/>
    </xf>
    <xf numFmtId="0" fontId="9" fillId="5" borderId="0" applyNumberFormat="0" applyBorder="0" applyAlignment="0" applyProtection="0"/>
    <xf numFmtId="187" fontId="9" fillId="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87" fontId="9" fillId="6" borderId="0" applyNumberFormat="0" applyBorder="0" applyAlignment="0" applyProtection="0"/>
    <xf numFmtId="0" fontId="9" fillId="12" borderId="0" applyNumberFormat="0" applyBorder="0" applyAlignment="0" applyProtection="0"/>
    <xf numFmtId="37" fontId="20" fillId="0" borderId="0" applyFill="0" applyBorder="0">
      <alignment horizontal="left"/>
      <protection/>
    </xf>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87" fontId="3" fillId="8" borderId="0" applyNumberFormat="0" applyBorder="0" applyAlignment="0" applyProtection="0"/>
    <xf numFmtId="0" fontId="4" fillId="27" borderId="1" applyNumberFormat="0" applyAlignment="0" applyProtection="0"/>
    <xf numFmtId="187" fontId="4" fillId="19" borderId="1" applyNumberFormat="0" applyAlignment="0" applyProtection="0"/>
    <xf numFmtId="0" fontId="4" fillId="27" borderId="1" applyNumberFormat="0" applyAlignment="0" applyProtection="0"/>
    <xf numFmtId="0" fontId="4" fillId="27" borderId="1" applyNumberFormat="0" applyAlignment="0" applyProtection="0"/>
    <xf numFmtId="0" fontId="4" fillId="27" borderId="1" applyNumberFormat="0" applyAlignment="0" applyProtection="0"/>
    <xf numFmtId="0" fontId="4" fillId="27" borderId="1" applyNumberFormat="0" applyAlignment="0" applyProtection="0"/>
    <xf numFmtId="187" fontId="4" fillId="19" borderId="1" applyNumberFormat="0" applyAlignment="0" applyProtection="0"/>
    <xf numFmtId="0" fontId="46" fillId="18" borderId="1" applyNumberFormat="0" applyAlignment="0" applyProtection="0"/>
    <xf numFmtId="0" fontId="4" fillId="27" borderId="1" applyNumberFormat="0" applyAlignment="0" applyProtection="0"/>
    <xf numFmtId="0" fontId="4" fillId="19" borderId="1" applyNumberFormat="0" applyAlignment="0" applyProtection="0"/>
    <xf numFmtId="0" fontId="4" fillId="27" borderId="1" applyNumberFormat="0" applyAlignment="0" applyProtection="0"/>
    <xf numFmtId="0" fontId="46" fillId="18" borderId="1" applyNumberFormat="0" applyAlignment="0" applyProtection="0"/>
    <xf numFmtId="0" fontId="46" fillId="18" borderId="1" applyNumberFormat="0" applyAlignment="0" applyProtection="0"/>
    <xf numFmtId="0" fontId="46" fillId="18" borderId="1" applyNumberFormat="0" applyAlignment="0" applyProtection="0"/>
    <xf numFmtId="0" fontId="46" fillId="18"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27"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8"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27"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19" borderId="1" applyNumberFormat="0" applyAlignment="0" applyProtection="0"/>
    <xf numFmtId="0" fontId="4" fillId="27" borderId="1" applyNumberFormat="0" applyAlignment="0" applyProtection="0"/>
    <xf numFmtId="0" fontId="4" fillId="27" borderId="1" applyNumberFormat="0" applyAlignment="0" applyProtection="0"/>
    <xf numFmtId="187" fontId="4" fillId="27" borderId="1" applyNumberFormat="0" applyAlignment="0" applyProtection="0"/>
    <xf numFmtId="187" fontId="44" fillId="0" borderId="0">
      <alignment/>
      <protection/>
    </xf>
    <xf numFmtId="187" fontId="44" fillId="0" borderId="0">
      <alignment/>
      <protection/>
    </xf>
    <xf numFmtId="187" fontId="44" fillId="0" borderId="0">
      <alignment/>
      <protection/>
    </xf>
    <xf numFmtId="187" fontId="44"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5" fillId="46" borderId="2" applyNumberFormat="0" applyAlignment="0" applyProtection="0"/>
    <xf numFmtId="0" fontId="5" fillId="47"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6"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6"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6" borderId="2" applyNumberFormat="0" applyAlignment="0" applyProtection="0"/>
    <xf numFmtId="0" fontId="5" fillId="47" borderId="2" applyNumberFormat="0" applyAlignment="0" applyProtection="0"/>
    <xf numFmtId="0" fontId="5" fillId="46" borderId="2" applyNumberFormat="0" applyAlignment="0" applyProtection="0"/>
    <xf numFmtId="187" fontId="5" fillId="46"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187" fontId="6" fillId="0" borderId="3" applyNumberFormat="0" applyFill="0" applyAlignment="0" applyProtection="0"/>
    <xf numFmtId="0" fontId="5" fillId="46" borderId="2" applyNumberFormat="0" applyAlignment="0" applyProtection="0"/>
    <xf numFmtId="187" fontId="5" fillId="47"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187" fontId="5" fillId="47" borderId="2" applyNumberFormat="0" applyAlignment="0" applyProtection="0"/>
    <xf numFmtId="182" fontId="35" fillId="0" borderId="0">
      <alignment/>
      <protection locked="0"/>
    </xf>
    <xf numFmtId="38" fontId="0" fillId="0" borderId="0" applyFill="0" applyBorder="0" applyAlignment="0" applyProtection="0"/>
    <xf numFmtId="182" fontId="47" fillId="0" borderId="0">
      <alignment/>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47" fillId="0" borderId="0">
      <alignment/>
      <protection locked="0"/>
    </xf>
    <xf numFmtId="182" fontId="47" fillId="0" borderId="0">
      <alignment/>
      <protection locked="0"/>
    </xf>
    <xf numFmtId="182" fontId="47"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77" fontId="35" fillId="0" borderId="0">
      <alignment/>
      <protection locked="0"/>
    </xf>
    <xf numFmtId="188" fontId="48" fillId="0" borderId="0">
      <alignment/>
      <protection locked="0"/>
    </xf>
    <xf numFmtId="177" fontId="47" fillId="0" borderId="0">
      <alignment/>
      <protection locked="0"/>
    </xf>
    <xf numFmtId="0" fontId="49" fillId="0" borderId="0" applyNumberFormat="0" applyFill="0" applyBorder="0">
      <alignment horizontal="left" vertical="center"/>
      <protection locked="0"/>
    </xf>
    <xf numFmtId="183" fontId="35" fillId="0" borderId="0">
      <alignment/>
      <protection locked="0"/>
    </xf>
    <xf numFmtId="189" fontId="0" fillId="0" borderId="0">
      <alignment horizontal="center"/>
      <protection/>
    </xf>
    <xf numFmtId="190" fontId="0" fillId="0" borderId="0" applyFill="0" applyBorder="0" applyAlignment="0" applyProtection="0"/>
    <xf numFmtId="183" fontId="47" fillId="0" borderId="0">
      <alignment/>
      <protection locked="0"/>
    </xf>
    <xf numFmtId="183" fontId="47"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4" fontId="35" fillId="0" borderId="0">
      <alignment/>
      <protection locked="0"/>
    </xf>
    <xf numFmtId="188" fontId="48" fillId="0" borderId="0">
      <alignment/>
      <protection locked="0"/>
    </xf>
    <xf numFmtId="184" fontId="47" fillId="0" borderId="0">
      <alignment/>
      <protection locked="0"/>
    </xf>
    <xf numFmtId="0" fontId="35" fillId="0" borderId="0">
      <alignment/>
      <protection locked="0"/>
    </xf>
    <xf numFmtId="0" fontId="47" fillId="0" borderId="0">
      <alignment/>
      <protection locked="0"/>
    </xf>
    <xf numFmtId="0" fontId="50" fillId="48" borderId="0" applyNumberFormat="0" applyBorder="0">
      <alignment horizontal="center" vertical="center"/>
      <protection/>
    </xf>
    <xf numFmtId="0" fontId="51" fillId="0" borderId="0" applyNumberFormat="0" applyFill="0" applyBorder="0" applyProtection="0">
      <alignment horizontal="left"/>
    </xf>
    <xf numFmtId="0" fontId="47" fillId="0" borderId="0">
      <alignment/>
      <protection locked="0"/>
    </xf>
    <xf numFmtId="0" fontId="35" fillId="0" borderId="0">
      <alignment/>
      <protection locked="0"/>
    </xf>
    <xf numFmtId="188" fontId="48" fillId="0" borderId="0">
      <alignment/>
      <protection locked="0"/>
    </xf>
    <xf numFmtId="0" fontId="47" fillId="0" borderId="0">
      <alignment/>
      <protection locked="0"/>
    </xf>
    <xf numFmtId="0" fontId="2" fillId="37"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187"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187" fontId="2" fillId="40"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187" fontId="2" fillId="4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87"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187" fontId="2" fillId="33"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0" fontId="2" fillId="45" borderId="0" applyNumberFormat="0" applyBorder="0" applyAlignment="0" applyProtection="0"/>
    <xf numFmtId="0" fontId="2" fillId="30" borderId="0" applyNumberFormat="0" applyBorder="0" applyAlignment="0" applyProtection="0"/>
    <xf numFmtId="187" fontId="2" fillId="30" borderId="0" applyNumberFormat="0" applyBorder="0" applyAlignment="0" applyProtection="0"/>
    <xf numFmtId="0" fontId="7" fillId="14" borderId="1" applyNumberFormat="0" applyAlignment="0" applyProtection="0"/>
    <xf numFmtId="0" fontId="7" fillId="19" borderId="1" applyNumberFormat="0" applyAlignment="0" applyProtection="0"/>
    <xf numFmtId="0" fontId="7" fillId="14" borderId="1" applyNumberFormat="0" applyAlignment="0" applyProtection="0"/>
    <xf numFmtId="0" fontId="7" fillId="24" borderId="1" applyNumberFormat="0" applyAlignment="0" applyProtection="0"/>
    <xf numFmtId="0" fontId="7" fillId="24" borderId="1" applyNumberFormat="0" applyAlignment="0" applyProtection="0"/>
    <xf numFmtId="0" fontId="7" fillId="24" borderId="1" applyNumberFormat="0" applyAlignment="0" applyProtection="0"/>
    <xf numFmtId="0" fontId="7" fillId="24"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4"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4"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9" borderId="1" applyNumberFormat="0" applyAlignment="0" applyProtection="0"/>
    <xf numFmtId="0" fontId="7" fillId="14" borderId="1" applyNumberFormat="0" applyAlignment="0" applyProtection="0"/>
    <xf numFmtId="0" fontId="7" fillId="19" borderId="1" applyNumberFormat="0" applyAlignment="0" applyProtection="0"/>
    <xf numFmtId="0" fontId="7" fillId="14" borderId="1" applyNumberFormat="0" applyAlignment="0" applyProtection="0"/>
    <xf numFmtId="187" fontId="7" fillId="14" borderId="1" applyNumberFormat="0" applyAlignment="0" applyProtection="0"/>
    <xf numFmtId="0" fontId="0" fillId="0" borderId="0" applyFill="0" applyBorder="0" applyAlignment="0">
      <protection/>
    </xf>
    <xf numFmtId="0" fontId="0" fillId="0" borderId="0">
      <alignment/>
      <protection/>
    </xf>
    <xf numFmtId="0" fontId="0" fillId="0" borderId="0">
      <alignment/>
      <protection/>
    </xf>
    <xf numFmtId="0" fontId="3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1" fontId="0" fillId="0" borderId="0" applyFill="0" applyBorder="0" applyAlignment="0" applyProtection="0"/>
    <xf numFmtId="191" fontId="0" fillId="0" borderId="0" applyFill="0" applyBorder="0" applyAlignment="0" applyProtection="0"/>
    <xf numFmtId="192" fontId="0" fillId="0" borderId="0" applyFill="0" applyBorder="0" applyAlignment="0" applyProtection="0"/>
    <xf numFmtId="0" fontId="0" fillId="0" borderId="0" applyFill="0" applyBorder="0" applyAlignment="0" applyProtection="0"/>
    <xf numFmtId="0" fontId="8" fillId="0" borderId="0">
      <alignment/>
      <protection/>
    </xf>
    <xf numFmtId="187" fontId="1" fillId="0" borderId="0">
      <alignment/>
      <protection/>
    </xf>
    <xf numFmtId="187" fontId="1" fillId="0" borderId="0">
      <alignment/>
      <protection/>
    </xf>
    <xf numFmtId="187" fontId="1" fillId="0" borderId="0">
      <alignment/>
      <protection/>
    </xf>
    <xf numFmtId="187" fontId="8"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187" fontId="8" fillId="0" borderId="0">
      <alignment/>
      <protection/>
    </xf>
    <xf numFmtId="187" fontId="1" fillId="0" borderId="0">
      <alignment/>
      <protection/>
    </xf>
    <xf numFmtId="0" fontId="13" fillId="0" borderId="0" applyNumberFormat="0" applyFill="0" applyBorder="0" applyAlignment="0" applyProtection="0"/>
    <xf numFmtId="187"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7" fontId="13" fillId="0" borderId="0" applyNumberFormat="0" applyFill="0" applyBorder="0" applyAlignment="0" applyProtection="0"/>
    <xf numFmtId="178" fontId="35" fillId="0" borderId="0">
      <alignment/>
      <protection locked="0"/>
    </xf>
    <xf numFmtId="188" fontId="48" fillId="0" borderId="0">
      <alignment/>
      <protection locked="0"/>
    </xf>
    <xf numFmtId="178" fontId="47" fillId="0" borderId="0">
      <alignment/>
      <protection locked="0"/>
    </xf>
    <xf numFmtId="178" fontId="35" fillId="0" borderId="0">
      <alignment/>
      <protection locked="0"/>
    </xf>
    <xf numFmtId="178" fontId="47" fillId="0" borderId="0">
      <alignment/>
      <protection locked="0"/>
    </xf>
    <xf numFmtId="0" fontId="41" fillId="0" borderId="0" applyNumberFormat="0" applyFill="0" applyBorder="0" applyAlignment="0" applyProtection="0"/>
    <xf numFmtId="0" fontId="3" fillId="8" borderId="0" applyNumberFormat="0" applyBorder="0" applyAlignment="0" applyProtection="0"/>
    <xf numFmtId="187"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87" fontId="3" fillId="10" borderId="0" applyNumberFormat="0" applyBorder="0" applyAlignment="0" applyProtection="0"/>
    <xf numFmtId="0" fontId="3" fillId="15" borderId="0" applyNumberFormat="0" applyBorder="0" applyAlignment="0" applyProtection="0"/>
    <xf numFmtId="0" fontId="20" fillId="18" borderId="0" applyNumberFormat="0" applyBorder="0" applyAlignment="0" applyProtection="0"/>
    <xf numFmtId="0" fontId="24" fillId="0" borderId="0">
      <alignment horizontal="left"/>
      <protection/>
    </xf>
    <xf numFmtId="0" fontId="14" fillId="0" borderId="0" applyNumberFormat="0" applyFill="0" applyBorder="0" applyAlignment="0" applyProtection="0"/>
    <xf numFmtId="187" fontId="15" fillId="0" borderId="5" applyNumberFormat="0" applyFill="0" applyAlignment="0" applyProtection="0"/>
    <xf numFmtId="0" fontId="14" fillId="0" borderId="0" applyNumberFormat="0" applyFill="0" applyBorder="0" applyAlignment="0" applyProtection="0"/>
    <xf numFmtId="0" fontId="47" fillId="0" borderId="0">
      <alignment/>
      <protection locked="0"/>
    </xf>
    <xf numFmtId="0" fontId="47" fillId="0" borderId="0">
      <alignment/>
      <protection locked="0"/>
    </xf>
    <xf numFmtId="0" fontId="47" fillId="0" borderId="0">
      <alignment/>
      <protection locked="0"/>
    </xf>
    <xf numFmtId="0" fontId="47" fillId="0" borderId="0">
      <alignment/>
      <protection locked="0"/>
    </xf>
    <xf numFmtId="0" fontId="14" fillId="0" borderId="0" applyNumberFormat="0" applyFill="0" applyBorder="0" applyAlignment="0" applyProtection="0"/>
    <xf numFmtId="188" fontId="52" fillId="0" borderId="0">
      <alignment/>
      <protection locked="0"/>
    </xf>
    <xf numFmtId="0" fontId="14" fillId="0" borderId="0" applyNumberFormat="0" applyFill="0" applyBorder="0" applyAlignment="0" applyProtection="0"/>
    <xf numFmtId="0" fontId="14" fillId="0" borderId="0" applyNumberFormat="0" applyFill="0" applyBorder="0" applyAlignment="0" applyProtection="0"/>
    <xf numFmtId="187" fontId="15" fillId="0" borderId="5" applyNumberFormat="0" applyFill="0" applyAlignment="0" applyProtection="0"/>
    <xf numFmtId="0" fontId="53" fillId="0" borderId="6" applyNumberFormat="0" applyFill="0" applyAlignment="0" applyProtection="0"/>
    <xf numFmtId="0" fontId="16" fillId="0" borderId="7" applyNumberFormat="0" applyFill="0" applyAlignment="0" applyProtection="0"/>
    <xf numFmtId="187" fontId="16" fillId="0" borderId="7" applyNumberFormat="0" applyFill="0" applyAlignment="0" applyProtection="0"/>
    <xf numFmtId="0" fontId="16" fillId="0" borderId="7" applyNumberFormat="0" applyFill="0" applyAlignment="0" applyProtection="0"/>
    <xf numFmtId="0" fontId="47" fillId="0" borderId="0">
      <alignment/>
      <protection locked="0"/>
    </xf>
    <xf numFmtId="0" fontId="47" fillId="0" borderId="0">
      <alignment/>
      <protection locked="0"/>
    </xf>
    <xf numFmtId="0" fontId="47" fillId="0" borderId="0">
      <alignment/>
      <protection locked="0"/>
    </xf>
    <xf numFmtId="0" fontId="47" fillId="0" borderId="0">
      <alignment/>
      <protection locked="0"/>
    </xf>
    <xf numFmtId="0" fontId="16" fillId="0" borderId="7" applyNumberFormat="0" applyFill="0" applyAlignment="0" applyProtection="0"/>
    <xf numFmtId="188" fontId="52" fillId="0" borderId="0">
      <alignment/>
      <protection locked="0"/>
    </xf>
    <xf numFmtId="0" fontId="16" fillId="0" borderId="7" applyNumberFormat="0" applyFill="0" applyAlignment="0" applyProtection="0"/>
    <xf numFmtId="0" fontId="16" fillId="0" borderId="7" applyNumberFormat="0" applyFill="0" applyAlignment="0" applyProtection="0"/>
    <xf numFmtId="187" fontId="16" fillId="0" borderId="7" applyNumberFormat="0" applyFill="0" applyAlignment="0" applyProtection="0"/>
    <xf numFmtId="0" fontId="54" fillId="0" borderId="8" applyNumberFormat="0" applyFill="0" applyAlignment="0" applyProtection="0"/>
    <xf numFmtId="0" fontId="17" fillId="0" borderId="9" applyNumberFormat="0" applyFill="0" applyAlignment="0" applyProtection="0"/>
    <xf numFmtId="187"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87" fontId="17" fillId="0" borderId="9" applyNumberFormat="0" applyFill="0" applyAlignment="0" applyProtection="0"/>
    <xf numFmtId="0" fontId="55" fillId="0" borderId="10" applyNumberFormat="0" applyFill="0" applyAlignment="0" applyProtection="0"/>
    <xf numFmtId="0" fontId="17" fillId="0" borderId="0" applyNumberFormat="0" applyFill="0" applyBorder="0" applyAlignment="0" applyProtection="0"/>
    <xf numFmtId="187"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7" fontId="17" fillId="0" borderId="0" applyNumberFormat="0" applyFill="0" applyBorder="0" applyAlignment="0" applyProtection="0"/>
    <xf numFmtId="0" fontId="55"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6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187" fontId="9" fillId="5" borderId="0" applyNumberFormat="0" applyBorder="0" applyAlignment="0" applyProtection="0"/>
    <xf numFmtId="0" fontId="8" fillId="0" borderId="0">
      <alignment/>
      <protection/>
    </xf>
    <xf numFmtId="0" fontId="7" fillId="14" borderId="1" applyNumberFormat="0" applyAlignment="0" applyProtection="0"/>
    <xf numFmtId="0" fontId="20" fillId="18" borderId="0" applyNumberFormat="0" applyBorder="0" applyAlignment="0" applyProtection="0"/>
    <xf numFmtId="187" fontId="7" fillId="17" borderId="1" applyNumberFormat="0" applyAlignment="0" applyProtection="0"/>
    <xf numFmtId="0" fontId="7" fillId="14" borderId="1" applyNumberFormat="0" applyAlignment="0" applyProtection="0"/>
    <xf numFmtId="0" fontId="7" fillId="14" borderId="1" applyNumberFormat="0" applyAlignment="0" applyProtection="0"/>
    <xf numFmtId="0" fontId="7" fillId="14" borderId="1" applyNumberFormat="0" applyAlignment="0" applyProtection="0"/>
    <xf numFmtId="0" fontId="7" fillId="14" borderId="1" applyNumberFormat="0" applyAlignment="0" applyProtection="0"/>
    <xf numFmtId="187" fontId="7" fillId="17" borderId="1" applyNumberFormat="0" applyAlignment="0" applyProtection="0"/>
    <xf numFmtId="0" fontId="7" fillId="24" borderId="1" applyNumberFormat="0" applyAlignment="0" applyProtection="0"/>
    <xf numFmtId="179" fontId="0" fillId="49" borderId="0" applyBorder="0">
      <alignment horizontal="right"/>
      <protection/>
    </xf>
    <xf numFmtId="0" fontId="20" fillId="0" borderId="0" applyNumberFormat="0" applyFill="0" applyBorder="0">
      <alignment horizontal="center" vertical="top"/>
      <protection locked="0"/>
    </xf>
    <xf numFmtId="0" fontId="6" fillId="0" borderId="3" applyNumberFormat="0" applyFill="0" applyAlignment="0" applyProtection="0"/>
    <xf numFmtId="187"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187" fontId="6" fillId="0" borderId="3" applyNumberFormat="0" applyFill="0" applyAlignment="0" applyProtection="0"/>
    <xf numFmtId="0" fontId="12" fillId="0" borderId="4" applyNumberFormat="0" applyFill="0" applyAlignment="0" applyProtection="0"/>
    <xf numFmtId="0" fontId="0" fillId="0" borderId="0">
      <alignment/>
      <protection/>
    </xf>
    <xf numFmtId="0" fontId="8" fillId="0" borderId="0">
      <alignment/>
      <protection/>
    </xf>
    <xf numFmtId="0" fontId="0" fillId="0" borderId="0" applyNumberFormat="0" applyFill="0" applyBorder="0">
      <alignment horizontal="center" vertical="top" wrapText="1"/>
      <protection hidden="1" locked="0"/>
    </xf>
    <xf numFmtId="0" fontId="22" fillId="0" borderId="11">
      <alignment/>
      <protection/>
    </xf>
    <xf numFmtId="168" fontId="0" fillId="0" borderId="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3" fontId="1" fillId="0" borderId="0" applyFill="0" applyBorder="0" applyAlignment="0" applyProtection="0"/>
    <xf numFmtId="194"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74" fontId="0" fillId="0" borderId="0" applyFont="0" applyFill="0" applyBorder="0" applyAlignment="0" applyProtection="0"/>
    <xf numFmtId="165" fontId="0" fillId="0" borderId="0" applyFont="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5"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65" fontId="0" fillId="0" borderId="0" applyFont="0" applyFill="0" applyBorder="0" applyAlignment="0" applyProtection="0"/>
    <xf numFmtId="174" fontId="0" fillId="0" borderId="0" applyFont="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ill="0" applyBorder="0" applyAlignment="0" applyProtection="0"/>
    <xf numFmtId="193" fontId="1" fillId="0" borderId="0" applyFill="0" applyBorder="0" applyAlignment="0" applyProtection="0"/>
    <xf numFmtId="185"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96" fontId="1" fillId="0" borderId="0" applyFill="0" applyBorder="0" applyAlignment="0" applyProtection="0"/>
    <xf numFmtId="196" fontId="1"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81" fontId="36" fillId="0" borderId="0" applyFont="0" applyFill="0" applyBorder="0" applyAlignment="0" applyProtection="0"/>
    <xf numFmtId="193" fontId="1"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1" fillId="0" borderId="0" applyFill="0" applyBorder="0" applyAlignment="0" applyProtection="0"/>
    <xf numFmtId="197" fontId="1" fillId="0" borderId="0" applyFill="0" applyBorder="0" applyAlignment="0" applyProtection="0"/>
    <xf numFmtId="197" fontId="1" fillId="0" borderId="0" applyFill="0" applyBorder="0" applyAlignment="0" applyProtection="0"/>
    <xf numFmtId="197" fontId="1" fillId="0" borderId="0" applyFill="0" applyBorder="0" applyAlignment="0" applyProtection="0"/>
    <xf numFmtId="193" fontId="1" fillId="0" borderId="0" applyFill="0" applyBorder="0" applyAlignment="0" applyProtection="0"/>
    <xf numFmtId="165" fontId="0" fillId="0" borderId="0" applyFont="0" applyFill="0" applyBorder="0" applyAlignment="0" applyProtection="0"/>
    <xf numFmtId="193" fontId="1" fillId="0" borderId="0" applyFill="0" applyBorder="0" applyAlignment="0" applyProtection="0"/>
    <xf numFmtId="193" fontId="1" fillId="0" borderId="0" applyFill="0" applyBorder="0" applyAlignment="0" applyProtection="0"/>
    <xf numFmtId="193" fontId="1" fillId="0" borderId="0" applyFill="0" applyBorder="0" applyAlignment="0" applyProtection="0"/>
    <xf numFmtId="165" fontId="1" fillId="0" borderId="0" applyFont="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44" fontId="0" fillId="0" borderId="0" applyFont="0" applyFill="0" applyBorder="0" applyAlignment="0" applyProtection="0"/>
    <xf numFmtId="165" fontId="1" fillId="0" borderId="0" applyFont="0" applyFill="0" applyBorder="0" applyAlignment="0" applyProtection="0"/>
    <xf numFmtId="44" fontId="0" fillId="0" borderId="0" applyFont="0" applyFill="0" applyBorder="0" applyAlignment="0" applyProtection="0"/>
    <xf numFmtId="165" fontId="1" fillId="0" borderId="0" applyFont="0" applyFill="0" applyBorder="0" applyAlignment="0" applyProtection="0"/>
    <xf numFmtId="193" fontId="1" fillId="0" borderId="0" applyFill="0" applyBorder="0" applyAlignment="0" applyProtection="0"/>
    <xf numFmtId="3" fontId="0" fillId="0" borderId="0">
      <alignment/>
      <protection/>
    </xf>
    <xf numFmtId="0" fontId="10" fillId="24"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0" fontId="10" fillId="50" borderId="0" applyNumberFormat="0" applyBorder="0" applyAlignment="0" applyProtection="0"/>
    <xf numFmtId="0" fontId="10" fillId="24" borderId="0" applyNumberFormat="0" applyBorder="0" applyAlignment="0" applyProtection="0"/>
    <xf numFmtId="187" fontId="10" fillId="24" borderId="0" applyNumberFormat="0" applyBorder="0" applyAlignment="0" applyProtection="0"/>
    <xf numFmtId="0" fontId="10" fillId="24" borderId="0" applyNumberFormat="0" applyBorder="0" applyAlignment="0" applyProtection="0"/>
    <xf numFmtId="187" fontId="10" fillId="5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87" fontId="10" fillId="50" borderId="0" applyNumberFormat="0" applyBorder="0" applyAlignment="0" applyProtection="0"/>
    <xf numFmtId="0" fontId="56" fillId="24" borderId="0" applyNumberFormat="0" applyBorder="0" applyAlignment="0" applyProtection="0"/>
    <xf numFmtId="19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0" fontId="0" fillId="0" borderId="0">
      <alignment/>
      <protection/>
    </xf>
    <xf numFmtId="4" fontId="0" fillId="0" borderId="0">
      <alignment/>
      <protection/>
    </xf>
    <xf numFmtId="4"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9"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9" fontId="8" fillId="0" borderId="0">
      <alignment/>
      <protection/>
    </xf>
    <xf numFmtId="187" fontId="8" fillId="0" borderId="0">
      <alignment/>
      <protection/>
    </xf>
    <xf numFmtId="179" fontId="37" fillId="0" borderId="0">
      <alignment/>
      <protection/>
    </xf>
    <xf numFmtId="0" fontId="1" fillId="0" borderId="0">
      <alignment/>
      <protection/>
    </xf>
    <xf numFmtId="0" fontId="1" fillId="0" borderId="0">
      <alignment/>
      <protection/>
    </xf>
    <xf numFmtId="0" fontId="57" fillId="0" borderId="0">
      <alignment/>
      <protection/>
    </xf>
    <xf numFmtId="179" fontId="8" fillId="0" borderId="0">
      <alignment/>
      <protection/>
    </xf>
    <xf numFmtId="179" fontId="8" fillId="0" borderId="0">
      <alignment/>
      <protection/>
    </xf>
    <xf numFmtId="187"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187" fontId="0" fillId="0" borderId="0">
      <alignment vertical="center"/>
      <protection/>
    </xf>
    <xf numFmtId="0" fontId="45" fillId="0" borderId="0">
      <alignment/>
      <protection/>
    </xf>
    <xf numFmtId="0" fontId="45" fillId="0" borderId="0">
      <alignment/>
      <protection/>
    </xf>
    <xf numFmtId="187" fontId="0" fillId="0" borderId="0">
      <alignment vertical="center"/>
      <protection/>
    </xf>
    <xf numFmtId="0" fontId="68" fillId="0" borderId="0">
      <alignment/>
      <protection/>
    </xf>
    <xf numFmtId="0" fontId="68"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8" fillId="0" borderId="0">
      <alignment/>
      <protection/>
    </xf>
    <xf numFmtId="187" fontId="0" fillId="0" borderId="0">
      <alignment vertical="center"/>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8" fillId="0" borderId="0">
      <alignment/>
      <protection/>
    </xf>
    <xf numFmtId="0" fontId="68" fillId="0" borderId="0">
      <alignment/>
      <protection/>
    </xf>
    <xf numFmtId="0" fontId="8" fillId="0" borderId="0">
      <alignment/>
      <protection/>
    </xf>
    <xf numFmtId="0" fontId="37" fillId="0" borderId="0">
      <alignment/>
      <protection/>
    </xf>
    <xf numFmtId="187" fontId="0"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1" fillId="0" borderId="0">
      <alignment/>
      <protection/>
    </xf>
    <xf numFmtId="0" fontId="1" fillId="0" borderId="0">
      <alignment/>
      <protection/>
    </xf>
    <xf numFmtId="187"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lignment vertical="center"/>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187"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187" fontId="0" fillId="11" borderId="12" applyNumberForma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1"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1" fillId="11" borderId="12" applyNumberForma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0" fillId="51" borderId="12" applyNumberFormat="0" applyFont="0" applyAlignment="0" applyProtection="0"/>
    <xf numFmtId="0" fontId="1" fillId="11" borderId="12" applyNumberFormat="0" applyAlignment="0" applyProtection="0"/>
    <xf numFmtId="0" fontId="0" fillId="11" borderId="12" applyNumberFormat="0" applyAlignment="0" applyProtection="0"/>
    <xf numFmtId="0" fontId="0" fillId="11" borderId="12" applyNumberFormat="0" applyAlignment="0" applyProtection="0"/>
    <xf numFmtId="187"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187" fontId="0" fillId="51" borderId="12" applyNumberFormat="0" applyFon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0" fontId="0" fillId="11" borderId="12" applyNumberFormat="0" applyAlignment="0" applyProtection="0"/>
    <xf numFmtId="187" fontId="0" fillId="51" borderId="12" applyNumberFormat="0" applyFont="0" applyAlignment="0" applyProtection="0"/>
    <xf numFmtId="0" fontId="11" fillId="27" borderId="13" applyNumberFormat="0" applyAlignment="0" applyProtection="0"/>
    <xf numFmtId="187" fontId="11" fillId="19" borderId="13" applyNumberFormat="0" applyAlignment="0" applyProtection="0"/>
    <xf numFmtId="0" fontId="11" fillId="27" borderId="13" applyNumberFormat="0" applyAlignment="0" applyProtection="0"/>
    <xf numFmtId="0" fontId="11" fillId="27" borderId="13" applyNumberFormat="0" applyAlignment="0" applyProtection="0"/>
    <xf numFmtId="0" fontId="11" fillId="27" borderId="13" applyNumberFormat="0" applyAlignment="0" applyProtection="0"/>
    <xf numFmtId="0" fontId="11" fillId="27" borderId="13" applyNumberFormat="0" applyAlignment="0" applyProtection="0"/>
    <xf numFmtId="187" fontId="11" fillId="19" borderId="13" applyNumberFormat="0" applyAlignment="0" applyProtection="0"/>
    <xf numFmtId="0" fontId="11" fillId="18" borderId="13" applyNumberFormat="0" applyAlignment="0" applyProtection="0"/>
    <xf numFmtId="0" fontId="0" fillId="52" borderId="0" applyNumberFormat="0" applyBorder="0" applyAlignment="0" applyProtection="0"/>
    <xf numFmtId="186" fontId="35" fillId="0" borderId="0">
      <alignment/>
      <protection locked="0"/>
    </xf>
    <xf numFmtId="10" fontId="0" fillId="0" borderId="0" applyFill="0" applyBorder="0" applyAlignment="0" applyProtection="0"/>
    <xf numFmtId="186" fontId="47" fillId="0" borderId="0">
      <alignment/>
      <protection locked="0"/>
    </xf>
    <xf numFmtId="186" fontId="47"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8" fontId="48" fillId="0" borderId="0">
      <alignment/>
      <protection locked="0"/>
    </xf>
    <xf numFmtId="186" fontId="35" fillId="0" borderId="0">
      <alignment/>
      <protection locked="0"/>
    </xf>
    <xf numFmtId="186" fontId="47" fillId="0" borderId="0">
      <alignment/>
      <protection locked="0"/>
    </xf>
    <xf numFmtId="0" fontId="38" fillId="0" borderId="14" applyNumberFormat="0" applyFont="0" applyBorder="0" applyAlignment="0">
      <protection/>
    </xf>
    <xf numFmtId="0" fontId="0" fillId="0" borderId="0" applyNumberFormat="0" applyBorder="0" applyAlignment="0">
      <protection/>
    </xf>
    <xf numFmtId="0" fontId="0" fillId="0" borderId="0" applyNumberFormat="0" applyBorder="0" applyAlignment="0">
      <protection/>
    </xf>
    <xf numFmtId="0" fontId="0" fillId="0" borderId="0" applyNumberFormat="0" applyBorder="0" applyAlignment="0">
      <protection/>
    </xf>
    <xf numFmtId="0" fontId="0" fillId="0" borderId="0" applyNumberFormat="0" applyBorder="0" applyAlignment="0">
      <protection/>
    </xf>
    <xf numFmtId="0" fontId="1" fillId="0" borderId="0" applyNumberFormat="0" applyBorder="0" applyAlignment="0">
      <protection/>
    </xf>
    <xf numFmtId="182" fontId="35" fillId="0" borderId="0">
      <alignment/>
      <protection locked="0"/>
    </xf>
    <xf numFmtId="182" fontId="47"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199" fontId="20" fillId="0" borderId="0" applyFill="0" applyBorder="0">
      <alignment horizontal="center"/>
      <protection/>
    </xf>
    <xf numFmtId="4" fontId="45" fillId="0" borderId="0" applyBorder="0">
      <alignment horizontal="left" vertical="top" wrapText="1"/>
      <protection/>
    </xf>
    <xf numFmtId="37" fontId="20" fillId="0" borderId="0">
      <alignment horizontal="right"/>
      <protection locked="0"/>
    </xf>
    <xf numFmtId="9" fontId="0" fillId="0" borderId="0" applyBorder="0">
      <alignment horizontal="right"/>
      <protection locked="0"/>
    </xf>
    <xf numFmtId="173" fontId="20" fillId="0" borderId="0" applyFill="0" applyBorder="0">
      <alignment horizontal="right"/>
      <protection locked="0"/>
    </xf>
    <xf numFmtId="0" fontId="11" fillId="27"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18" borderId="13" applyNumberFormat="0" applyAlignment="0" applyProtection="0"/>
    <xf numFmtId="0" fontId="11" fillId="18" borderId="13" applyNumberFormat="0" applyAlignment="0" applyProtection="0"/>
    <xf numFmtId="0" fontId="11" fillId="18" borderId="13" applyNumberFormat="0" applyAlignment="0" applyProtection="0"/>
    <xf numFmtId="0" fontId="11" fillId="18"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8"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19" borderId="13" applyNumberFormat="0" applyAlignment="0" applyProtection="0"/>
    <xf numFmtId="0" fontId="11" fillId="27" borderId="13" applyNumberFormat="0" applyAlignment="0" applyProtection="0"/>
    <xf numFmtId="0" fontId="11" fillId="27" borderId="13" applyNumberFormat="0" applyAlignment="0" applyProtection="0"/>
    <xf numFmtId="187" fontId="11" fillId="27" borderId="13" applyNumberFormat="0" applyAlignment="0" applyProtection="0"/>
    <xf numFmtId="188" fontId="58" fillId="0" borderId="0">
      <alignment/>
      <protection locked="0"/>
    </xf>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94"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94"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0"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0" fontId="0" fillId="0" borderId="0" applyFill="0" applyBorder="0" applyAlignment="0" applyProtection="0"/>
    <xf numFmtId="20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1"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77"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201" fontId="0" fillId="0" borderId="0" applyFill="0" applyBorder="0" applyAlignment="0" applyProtection="0"/>
    <xf numFmtId="167"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77"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0"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78" fontId="0" fillId="0" borderId="0" applyFill="0" applyBorder="0" applyAlignment="0" applyProtection="0"/>
    <xf numFmtId="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1"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1" fillId="0" borderId="0" applyFill="0" applyBorder="0" applyAlignment="0" applyProtection="0"/>
    <xf numFmtId="37" fontId="20" fillId="0" borderId="0" applyFill="0" applyBorder="0">
      <alignment horizontal="right"/>
      <protection locked="0"/>
    </xf>
    <xf numFmtId="0" fontId="0" fillId="0" borderId="0">
      <alignment/>
      <protection/>
    </xf>
    <xf numFmtId="0" fontId="22" fillId="0" borderId="0">
      <alignment/>
      <protection/>
    </xf>
    <xf numFmtId="0" fontId="59" fillId="27" borderId="15">
      <alignment wrapText="1"/>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7" fontId="13" fillId="0" borderId="0" applyNumberFormat="0" applyFill="0" applyBorder="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0" fontId="6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60" fillId="0" borderId="0" applyFill="0" applyBorder="0" applyAlignment="0" applyProtection="0"/>
    <xf numFmtId="4" fontId="14" fillId="0" borderId="0" applyFill="0" applyBorder="0" applyAlignment="0" applyProtection="0"/>
    <xf numFmtId="4" fontId="15" fillId="0" borderId="5"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3" fillId="0" borderId="16" applyNumberFormat="0" applyFill="0" applyAlignment="0" applyProtection="0"/>
    <xf numFmtId="0" fontId="53" fillId="0" borderId="17" applyNumberFormat="0" applyFill="0" applyAlignment="0" applyProtection="0"/>
    <xf numFmtId="187" fontId="15"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7" fontId="15" fillId="0" borderId="5" applyNumberFormat="0" applyFill="0" applyAlignment="0" applyProtection="0"/>
    <xf numFmtId="187"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187" fontId="53" fillId="0" borderId="16"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4" fillId="0" borderId="0" applyNumberFormat="0" applyFill="0" applyBorder="0" applyAlignment="0" applyProtection="0"/>
    <xf numFmtId="0" fontId="15" fillId="0" borderId="5" applyNumberFormat="0" applyFill="0" applyAlignment="0" applyProtection="0"/>
    <xf numFmtId="0" fontId="14" fillId="0" borderId="0" applyNumberFormat="0" applyFill="0" applyBorder="0" applyAlignment="0" applyProtection="0"/>
    <xf numFmtId="187" fontId="14" fillId="0" borderId="0" applyNumberFormat="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54"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187" fontId="16" fillId="0" borderId="7"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55" fillId="0" borderId="17"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87" fontId="17"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7"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0">
      <alignment/>
      <protection locked="0"/>
    </xf>
    <xf numFmtId="0" fontId="61" fillId="0" borderId="0">
      <alignment/>
      <protection locked="0"/>
    </xf>
    <xf numFmtId="0" fontId="39" fillId="0" borderId="0">
      <alignment/>
      <protection locked="0"/>
    </xf>
    <xf numFmtId="0" fontId="61" fillId="0" borderId="0">
      <alignment/>
      <protection locked="0"/>
    </xf>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20"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187" fontId="18" fillId="0" borderId="18" applyNumberFormat="0" applyFill="0" applyAlignment="0" applyProtection="0"/>
    <xf numFmtId="167" fontId="0" fillId="0" borderId="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68"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202"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202" fontId="0" fillId="0" borderId="0" applyFill="0" applyBorder="0" applyAlignment="0" applyProtection="0"/>
    <xf numFmtId="202"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1" fillId="0" borderId="0" applyFill="0" applyBorder="0" applyAlignment="0" applyProtection="0"/>
    <xf numFmtId="166" fontId="1" fillId="0" borderId="0" applyFont="0" applyFill="0" applyBorder="0" applyAlignment="0" applyProtection="0"/>
    <xf numFmtId="167"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187"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7" fontId="12" fillId="0" borderId="0" applyNumberFormat="0" applyFill="0" applyBorder="0" applyAlignment="0" applyProtection="0"/>
  </cellStyleXfs>
  <cellXfs count="874">
    <xf numFmtId="0" fontId="0" fillId="0" borderId="0" xfId="0" applyAlignment="1">
      <alignment/>
    </xf>
    <xf numFmtId="0" fontId="0" fillId="0" borderId="0" xfId="1549" applyFont="1" applyAlignment="1">
      <alignment vertical="center"/>
      <protection/>
    </xf>
    <xf numFmtId="0" fontId="0" fillId="0" borderId="0" xfId="1807">
      <alignment/>
      <protection/>
    </xf>
    <xf numFmtId="4" fontId="19" fillId="0" borderId="0" xfId="1807" applyNumberFormat="1" applyFont="1" applyFill="1" applyBorder="1" applyAlignment="1">
      <alignment vertical="center" wrapText="1"/>
      <protection/>
    </xf>
    <xf numFmtId="0" fontId="0" fillId="0" borderId="0" xfId="0" applyAlignment="1">
      <alignment horizontal="center"/>
    </xf>
    <xf numFmtId="0" fontId="19" fillId="0" borderId="0" xfId="0" applyFont="1" applyAlignment="1" applyProtection="1">
      <alignment horizontal="center" vertical="center" wrapText="1"/>
      <protection/>
    </xf>
    <xf numFmtId="0" fontId="0" fillId="0" borderId="0" xfId="0" applyFont="1" applyAlignment="1">
      <alignment vertical="justify"/>
    </xf>
    <xf numFmtId="0" fontId="0" fillId="0" borderId="0" xfId="0" applyAlignment="1">
      <alignment horizontal="right"/>
    </xf>
    <xf numFmtId="4" fontId="19" fillId="0" borderId="0" xfId="1807" applyNumberFormat="1" applyFont="1" applyFill="1" applyBorder="1" applyAlignment="1">
      <alignment horizontal="right" vertical="center" wrapText="1"/>
      <protection/>
    </xf>
    <xf numFmtId="0" fontId="21" fillId="0" borderId="0" xfId="1549" applyFont="1" applyAlignment="1" applyProtection="1">
      <alignment vertical="center"/>
      <protection locked="0"/>
    </xf>
    <xf numFmtId="0" fontId="0" fillId="0" borderId="0" xfId="1549" applyFont="1" applyAlignment="1" applyProtection="1">
      <alignment vertical="center"/>
      <protection locked="0"/>
    </xf>
    <xf numFmtId="0" fontId="0" fillId="0" borderId="0" xfId="1549" applyFont="1" applyFill="1" applyAlignment="1">
      <alignment vertical="center"/>
      <protection/>
    </xf>
    <xf numFmtId="0" fontId="0" fillId="0" borderId="0" xfId="1635" applyFont="1" applyAlignment="1">
      <alignment vertical="center"/>
      <protection/>
    </xf>
    <xf numFmtId="0" fontId="0" fillId="0" borderId="0" xfId="1710" applyFont="1" applyAlignment="1" applyProtection="1">
      <alignment horizontal="center" vertical="center" wrapText="1"/>
      <protection/>
    </xf>
    <xf numFmtId="0" fontId="27" fillId="0" borderId="0" xfId="1710" applyFont="1">
      <alignment/>
      <protection/>
    </xf>
    <xf numFmtId="169" fontId="27" fillId="0" borderId="0" xfId="1710" applyNumberFormat="1" applyFont="1">
      <alignment/>
      <protection/>
    </xf>
    <xf numFmtId="0" fontId="19" fillId="19" borderId="21" xfId="0" applyFont="1" applyFill="1" applyBorder="1" applyAlignment="1" applyProtection="1">
      <alignment horizontal="center" vertical="center" wrapText="1"/>
      <protection/>
    </xf>
    <xf numFmtId="0" fontId="19" fillId="19" borderId="22" xfId="0" applyFont="1" applyFill="1" applyBorder="1" applyAlignment="1" applyProtection="1">
      <alignment horizontal="center" vertical="center" wrapText="1"/>
      <protection/>
    </xf>
    <xf numFmtId="0" fontId="19" fillId="19" borderId="23" xfId="0" applyFont="1" applyFill="1" applyBorder="1" applyAlignment="1" applyProtection="1">
      <alignment horizontal="center" vertical="center" wrapText="1"/>
      <protection/>
    </xf>
    <xf numFmtId="0" fontId="27" fillId="0" borderId="0" xfId="1712" applyFont="1">
      <alignment/>
      <protection/>
    </xf>
    <xf numFmtId="0" fontId="19" fillId="19" borderId="21" xfId="1710" applyFont="1" applyFill="1" applyBorder="1" applyAlignment="1" applyProtection="1">
      <alignment horizontal="center" vertical="center" wrapText="1"/>
      <protection/>
    </xf>
    <xf numFmtId="0" fontId="19" fillId="19" borderId="22" xfId="1710" applyFont="1" applyFill="1" applyBorder="1" applyAlignment="1" applyProtection="1">
      <alignment horizontal="center" vertical="center" wrapText="1"/>
      <protection/>
    </xf>
    <xf numFmtId="0" fontId="19" fillId="19" borderId="23" xfId="1710" applyFont="1" applyFill="1" applyBorder="1" applyAlignment="1" applyProtection="1">
      <alignment horizontal="center" vertical="center" wrapText="1"/>
      <protection/>
    </xf>
    <xf numFmtId="4" fontId="19" fillId="19" borderId="22" xfId="1710" applyNumberFormat="1" applyFont="1" applyFill="1" applyBorder="1" applyAlignment="1">
      <alignment horizontal="center" vertical="center"/>
      <protection/>
    </xf>
    <xf numFmtId="169" fontId="19" fillId="19" borderId="23" xfId="1710" applyNumberFormat="1" applyFont="1" applyFill="1" applyBorder="1" applyAlignment="1" applyProtection="1">
      <alignment horizontal="center" vertical="center" wrapText="1"/>
      <protection/>
    </xf>
    <xf numFmtId="169" fontId="19" fillId="19" borderId="22" xfId="1710" applyNumberFormat="1" applyFont="1" applyFill="1" applyBorder="1" applyAlignment="1" applyProtection="1">
      <alignment horizontal="center" vertical="center" wrapText="1"/>
      <protection/>
    </xf>
    <xf numFmtId="167" fontId="19" fillId="19" borderId="22" xfId="2341" applyFont="1" applyFill="1" applyBorder="1" applyAlignment="1" applyProtection="1">
      <alignment horizontal="center" vertical="center" wrapText="1"/>
      <protection/>
    </xf>
    <xf numFmtId="168" fontId="19" fillId="19" borderId="23" xfId="1337" applyFont="1" applyFill="1" applyBorder="1" applyAlignment="1" applyProtection="1">
      <alignment horizontal="center" vertical="center" wrapText="1"/>
      <protection/>
    </xf>
    <xf numFmtId="165" fontId="19" fillId="19" borderId="22" xfId="1337" applyNumberFormat="1" applyFont="1" applyFill="1" applyBorder="1" applyAlignment="1" applyProtection="1">
      <alignment horizontal="center" vertical="center" wrapText="1"/>
      <protection/>
    </xf>
    <xf numFmtId="4" fontId="23" fillId="0" borderId="0" xfId="1807" applyNumberFormat="1" applyFont="1" applyFill="1" applyBorder="1" applyAlignment="1">
      <alignment vertical="center" wrapText="1"/>
      <protection/>
    </xf>
    <xf numFmtId="0" fontId="0" fillId="0" borderId="0" xfId="0" applyFill="1" applyBorder="1" applyAlignment="1">
      <alignment/>
    </xf>
    <xf numFmtId="0" fontId="21" fillId="0" borderId="0" xfId="1549" applyFont="1" applyAlignment="1" applyProtection="1">
      <alignment horizontal="center" vertical="center"/>
      <protection locked="0"/>
    </xf>
    <xf numFmtId="0" fontId="0" fillId="0" borderId="0" xfId="1549" applyFont="1" applyAlignment="1" applyProtection="1">
      <alignment horizontal="center" vertical="center"/>
      <protection locked="0"/>
    </xf>
    <xf numFmtId="0" fontId="27" fillId="0" borderId="0" xfId="1710" applyFont="1" applyAlignment="1">
      <alignment horizontal="center"/>
      <protection/>
    </xf>
    <xf numFmtId="0" fontId="0" fillId="0" borderId="0" xfId="1710" applyFont="1" applyAlignment="1" applyProtection="1">
      <alignment horizontal="center" vertical="center" wrapText="1"/>
      <protection/>
    </xf>
    <xf numFmtId="10" fontId="24" fillId="0" borderId="0" xfId="0" applyNumberFormat="1" applyFont="1" applyFill="1" applyBorder="1" applyAlignment="1">
      <alignment vertical="center" wrapText="1"/>
    </xf>
    <xf numFmtId="10" fontId="24" fillId="0" borderId="0" xfId="0" applyNumberFormat="1"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174"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174" fontId="0" fillId="0" borderId="26" xfId="0" applyNumberFormat="1" applyFont="1" applyFill="1" applyBorder="1" applyAlignment="1">
      <alignment vertical="center"/>
    </xf>
    <xf numFmtId="10"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27" fillId="0" borderId="0" xfId="1710" applyFont="1" applyFill="1">
      <alignment/>
      <protection/>
    </xf>
    <xf numFmtId="0" fontId="27" fillId="0" borderId="0" xfId="1710" applyFont="1" applyFill="1" applyAlignment="1">
      <alignment horizontal="center"/>
      <protection/>
    </xf>
    <xf numFmtId="2" fontId="0" fillId="0" borderId="27" xfId="2018" applyNumberFormat="1" applyFont="1" applyFill="1" applyBorder="1" applyAlignment="1">
      <alignment horizontal="center" vertical="center"/>
    </xf>
    <xf numFmtId="0" fontId="22" fillId="0" borderId="22" xfId="1809" applyFont="1" applyFill="1" applyBorder="1" applyAlignment="1">
      <alignment horizontal="center" vertical="center"/>
      <protection/>
    </xf>
    <xf numFmtId="0" fontId="32" fillId="0" borderId="24" xfId="0" applyFont="1" applyFill="1" applyBorder="1" applyAlignment="1">
      <alignment/>
    </xf>
    <xf numFmtId="0" fontId="32" fillId="0" borderId="0" xfId="0" applyFont="1" applyFill="1" applyBorder="1" applyAlignment="1">
      <alignment/>
    </xf>
    <xf numFmtId="165" fontId="32" fillId="0" borderId="0" xfId="1347" applyFont="1" applyFill="1" applyBorder="1" applyAlignment="1">
      <alignment/>
    </xf>
    <xf numFmtId="170" fontId="23" fillId="27" borderId="22" xfId="1807" applyNumberFormat="1" applyFont="1" applyFill="1" applyBorder="1" applyAlignment="1">
      <alignment horizontal="left" vertical="center" wrapText="1"/>
      <protection/>
    </xf>
    <xf numFmtId="0" fontId="27" fillId="0" borderId="0" xfId="1710" applyFont="1" applyFill="1" applyBorder="1" applyAlignment="1">
      <alignment horizontal="center"/>
      <protection/>
    </xf>
    <xf numFmtId="0" fontId="0" fillId="0" borderId="27" xfId="0" applyNumberFormat="1" applyFont="1" applyFill="1" applyBorder="1" applyAlignment="1">
      <alignment horizontal="justify" vertical="center" wrapText="1"/>
    </xf>
    <xf numFmtId="0" fontId="0" fillId="0" borderId="0" xfId="0" applyFill="1" applyBorder="1" applyAlignment="1">
      <alignment horizontal="center"/>
    </xf>
    <xf numFmtId="0" fontId="19" fillId="19" borderId="27" xfId="1711" applyFont="1" applyFill="1" applyBorder="1" applyAlignment="1" applyProtection="1">
      <alignment horizontal="center" vertical="center" wrapText="1"/>
      <protection/>
    </xf>
    <xf numFmtId="0" fontId="0" fillId="0" borderId="0" xfId="1551" applyFill="1" applyAlignment="1">
      <alignment vertical="center"/>
      <protection/>
    </xf>
    <xf numFmtId="0" fontId="0" fillId="19" borderId="27" xfId="1711" applyFont="1" applyFill="1" applyBorder="1" applyAlignment="1" applyProtection="1">
      <alignment horizontal="center" vertical="center" wrapText="1"/>
      <protection/>
    </xf>
    <xf numFmtId="4" fontId="0" fillId="19" borderId="27" xfId="1711" applyNumberFormat="1" applyFont="1" applyFill="1" applyBorder="1" applyAlignment="1">
      <alignment horizontal="center" vertical="center" wrapText="1"/>
      <protection/>
    </xf>
    <xf numFmtId="169" fontId="0" fillId="19" borderId="27" xfId="1711" applyNumberFormat="1" applyFont="1" applyFill="1" applyBorder="1" applyAlignment="1" applyProtection="1">
      <alignment horizontal="center" vertical="center" wrapText="1"/>
      <protection/>
    </xf>
    <xf numFmtId="164" fontId="0" fillId="19" borderId="27" xfId="1551" applyNumberFormat="1" applyFont="1" applyFill="1" applyBorder="1" applyAlignment="1">
      <alignment horizontal="center" vertical="center"/>
      <protection/>
    </xf>
    <xf numFmtId="44" fontId="0" fillId="0" borderId="27" xfId="1403" applyNumberFormat="1" applyFont="1" applyFill="1" applyBorder="1" applyAlignment="1">
      <alignment horizontal="center" vertical="center"/>
    </xf>
    <xf numFmtId="0" fontId="0" fillId="0" borderId="0" xfId="1711" applyFont="1">
      <alignment/>
      <protection/>
    </xf>
    <xf numFmtId="0" fontId="0" fillId="0" borderId="28" xfId="1711" applyFont="1" applyBorder="1" applyAlignment="1">
      <alignment horizontal="center"/>
      <protection/>
    </xf>
    <xf numFmtId="168" fontId="0" fillId="0" borderId="27" xfId="1403" applyFont="1" applyFill="1" applyBorder="1" applyAlignment="1" applyProtection="1">
      <alignment horizontal="center" vertical="center"/>
      <protection/>
    </xf>
    <xf numFmtId="0" fontId="0" fillId="0" borderId="0" xfId="1711" applyFont="1" applyFill="1" applyBorder="1" applyAlignment="1">
      <alignment horizontal="center"/>
      <protection/>
    </xf>
    <xf numFmtId="172" fontId="0" fillId="0" borderId="29" xfId="0" applyNumberFormat="1" applyFont="1" applyFill="1" applyBorder="1" applyAlignment="1">
      <alignment horizontal="center" vertical="center"/>
    </xf>
    <xf numFmtId="172" fontId="19" fillId="0" borderId="30"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2" fillId="0" borderId="0" xfId="1710" applyFont="1">
      <alignment/>
      <protection/>
    </xf>
    <xf numFmtId="0" fontId="0" fillId="0" borderId="0" xfId="0" applyFill="1" applyBorder="1" applyAlignment="1">
      <alignment horizontal="center" vertical="center"/>
    </xf>
    <xf numFmtId="0" fontId="0" fillId="0" borderId="27" xfId="1711" applyFont="1" applyBorder="1" applyAlignment="1">
      <alignment horizontal="center" vertical="center"/>
      <protection/>
    </xf>
    <xf numFmtId="0" fontId="32" fillId="0" borderId="0" xfId="1711" applyFont="1" applyAlignment="1">
      <alignment horizontal="center" vertical="center"/>
      <protection/>
    </xf>
    <xf numFmtId="0" fontId="0" fillId="0" borderId="0" xfId="0" applyAlignment="1">
      <alignment horizontal="center" vertical="center"/>
    </xf>
    <xf numFmtId="0" fontId="19" fillId="19" borderId="27" xfId="1710" applyFont="1" applyFill="1" applyBorder="1" applyAlignment="1" applyProtection="1">
      <alignment horizontal="center" vertical="center" wrapText="1"/>
      <protection/>
    </xf>
    <xf numFmtId="0" fontId="19" fillId="19" borderId="31" xfId="1711" applyFont="1" applyFill="1" applyBorder="1" applyAlignment="1" applyProtection="1">
      <alignment horizontal="center" vertical="center" wrapText="1"/>
      <protection/>
    </xf>
    <xf numFmtId="0" fontId="0" fillId="19" borderId="27" xfId="1710" applyFont="1" applyFill="1" applyBorder="1" applyAlignment="1" applyProtection="1">
      <alignment horizontal="center" vertical="center" wrapText="1"/>
      <protection/>
    </xf>
    <xf numFmtId="164" fontId="0" fillId="19" borderId="27" xfId="1551" applyNumberFormat="1" applyFont="1" applyFill="1" applyBorder="1" applyAlignment="1">
      <alignment horizontal="center" vertical="center"/>
      <protection/>
    </xf>
    <xf numFmtId="3" fontId="19" fillId="19" borderId="22" xfId="1712" applyNumberFormat="1" applyFont="1" applyFill="1" applyBorder="1" applyAlignment="1">
      <alignment horizontal="center" vertical="center" wrapText="1"/>
      <protection/>
    </xf>
    <xf numFmtId="2" fontId="0" fillId="0" borderId="27" xfId="2018" applyNumberFormat="1" applyFont="1" applyFill="1" applyBorder="1" applyAlignment="1">
      <alignment horizontal="center" vertical="center"/>
    </xf>
    <xf numFmtId="3" fontId="19" fillId="19" borderId="32" xfId="1712" applyNumberFormat="1" applyFont="1" applyFill="1" applyBorder="1" applyAlignment="1">
      <alignment horizontal="center" vertical="center" wrapText="1"/>
      <protection/>
    </xf>
    <xf numFmtId="3" fontId="19" fillId="19" borderId="33" xfId="1712" applyNumberFormat="1" applyFont="1" applyFill="1" applyBorder="1" applyAlignment="1">
      <alignment horizontal="center" vertical="center" wrapText="1"/>
      <protection/>
    </xf>
    <xf numFmtId="3" fontId="19" fillId="19" borderId="25" xfId="1712" applyNumberFormat="1" applyFont="1" applyFill="1" applyBorder="1" applyAlignment="1">
      <alignment horizontal="center" vertical="center" wrapText="1"/>
      <protection/>
    </xf>
    <xf numFmtId="3" fontId="19" fillId="19" borderId="34" xfId="1712" applyNumberFormat="1" applyFont="1" applyFill="1" applyBorder="1" applyAlignment="1">
      <alignment horizontal="center" vertical="center" wrapText="1"/>
      <protection/>
    </xf>
    <xf numFmtId="0" fontId="19" fillId="0" borderId="0" xfId="0" applyFont="1" applyBorder="1" applyAlignment="1" applyProtection="1">
      <alignment horizontal="center" vertical="center" wrapText="1"/>
      <protection/>
    </xf>
    <xf numFmtId="0" fontId="27" fillId="0" borderId="0" xfId="1712" applyFont="1" applyBorder="1">
      <alignment/>
      <protection/>
    </xf>
    <xf numFmtId="0" fontId="19" fillId="19" borderId="33" xfId="1549" applyNumberFormat="1" applyFont="1" applyFill="1" applyBorder="1" applyAlignment="1">
      <alignment horizontal="center" vertical="center"/>
      <protection/>
    </xf>
    <xf numFmtId="0" fontId="0" fillId="0" borderId="0" xfId="1710" applyFont="1" applyBorder="1" applyAlignment="1" applyProtection="1">
      <alignment horizontal="center" vertical="center" wrapText="1"/>
      <protection/>
    </xf>
    <xf numFmtId="0" fontId="0" fillId="0" borderId="0" xfId="1710" applyFont="1" applyBorder="1" applyAlignment="1" applyProtection="1">
      <alignment horizontal="center" vertical="center" wrapText="1"/>
      <protection/>
    </xf>
    <xf numFmtId="0" fontId="19" fillId="19" borderId="33" xfId="1710" applyFont="1" applyFill="1" applyBorder="1" applyAlignment="1" applyProtection="1">
      <alignment horizontal="center" vertical="center" wrapText="1"/>
      <protection/>
    </xf>
    <xf numFmtId="0" fontId="0" fillId="0" borderId="0" xfId="0" applyNumberFormat="1" applyFont="1" applyFill="1" applyBorder="1" applyAlignment="1">
      <alignment horizontal="center" vertical="center" wrapText="1"/>
    </xf>
    <xf numFmtId="0" fontId="0" fillId="0" borderId="0" xfId="0" applyBorder="1" applyAlignment="1">
      <alignment/>
    </xf>
    <xf numFmtId="0" fontId="0" fillId="53" borderId="35" xfId="1551" applyFont="1" applyFill="1" applyBorder="1" applyAlignment="1">
      <alignment horizontal="justify" vertical="center" wrapText="1"/>
      <protection/>
    </xf>
    <xf numFmtId="0" fontId="0" fillId="0" borderId="27" xfId="1551" applyFont="1" applyFill="1" applyBorder="1" applyAlignment="1">
      <alignment horizontal="center" vertical="center"/>
      <protection/>
    </xf>
    <xf numFmtId="0" fontId="0" fillId="53" borderId="27" xfId="1551" applyFont="1" applyFill="1" applyBorder="1" applyAlignment="1">
      <alignment horizontal="justify" vertical="center" wrapText="1"/>
      <protection/>
    </xf>
    <xf numFmtId="0" fontId="33" fillId="0" borderId="27" xfId="0" applyFont="1" applyBorder="1" applyAlignment="1">
      <alignment horizontal="center" vertical="center"/>
    </xf>
    <xf numFmtId="49" fontId="33" fillId="0" borderId="27" xfId="0" applyNumberFormat="1" applyFont="1" applyFill="1" applyBorder="1" applyAlignment="1">
      <alignment horizontal="left" vertical="center" wrapText="1"/>
    </xf>
    <xf numFmtId="168" fontId="0" fillId="0" borderId="27" xfId="1403" applyFont="1" applyBorder="1" applyAlignment="1">
      <alignment horizontal="center" vertical="center"/>
    </xf>
    <xf numFmtId="179" fontId="0" fillId="0" borderId="27" xfId="2056" applyNumberFormat="1" applyFont="1" applyFill="1" applyBorder="1" applyAlignment="1">
      <alignment horizontal="center" vertical="center"/>
    </xf>
    <xf numFmtId="0" fontId="0" fillId="53" borderId="36" xfId="1551" applyFont="1" applyFill="1" applyBorder="1" applyAlignment="1">
      <alignment horizontal="justify" vertical="center" wrapText="1"/>
      <protection/>
    </xf>
    <xf numFmtId="0" fontId="0" fillId="0" borderId="36" xfId="1551" applyFont="1" applyFill="1" applyBorder="1" applyAlignment="1">
      <alignment horizontal="center" vertical="center"/>
      <protection/>
    </xf>
    <xf numFmtId="0" fontId="0" fillId="0" borderId="0" xfId="1711" applyFont="1" applyBorder="1" applyAlignment="1">
      <alignment horizontal="center" vertical="center"/>
      <protection/>
    </xf>
    <xf numFmtId="0" fontId="0" fillId="0" borderId="0" xfId="0" applyNumberFormat="1" applyFont="1" applyFill="1" applyBorder="1" applyAlignment="1">
      <alignment horizontal="justify" vertical="center" wrapText="1"/>
    </xf>
    <xf numFmtId="2" fontId="0" fillId="0" borderId="0" xfId="2018"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vertical="justify"/>
    </xf>
    <xf numFmtId="0" fontId="0" fillId="0" borderId="0" xfId="0" applyBorder="1" applyAlignment="1">
      <alignment horizontal="right"/>
    </xf>
    <xf numFmtId="0" fontId="0" fillId="0" borderId="0" xfId="0" applyBorder="1" applyAlignment="1">
      <alignment horizontal="center"/>
    </xf>
    <xf numFmtId="0" fontId="33" fillId="0" borderId="27" xfId="0" applyFont="1" applyFill="1" applyBorder="1" applyAlignment="1">
      <alignment horizontal="center" vertical="center"/>
    </xf>
    <xf numFmtId="0" fontId="0" fillId="0" borderId="0" xfId="0" applyFill="1" applyAlignment="1">
      <alignment/>
    </xf>
    <xf numFmtId="4" fontId="19" fillId="19" borderId="33" xfId="1549" applyNumberFormat="1" applyFont="1" applyFill="1" applyBorder="1" applyAlignment="1">
      <alignment horizontal="center" vertical="center"/>
      <protection/>
    </xf>
    <xf numFmtId="172" fontId="0" fillId="0" borderId="29" xfId="1403" applyNumberFormat="1" applyFont="1" applyFill="1" applyBorder="1" applyAlignment="1">
      <alignment horizontal="center" vertical="center"/>
    </xf>
    <xf numFmtId="172" fontId="19" fillId="0" borderId="30" xfId="1403" applyNumberFormat="1" applyFont="1" applyFill="1" applyBorder="1" applyAlignment="1">
      <alignment horizontal="center" vertical="center"/>
    </xf>
    <xf numFmtId="0" fontId="0" fillId="19" borderId="27" xfId="1711" applyFont="1" applyFill="1" applyBorder="1" applyAlignment="1" applyProtection="1">
      <alignment horizontal="left" vertical="center" wrapText="1"/>
      <protection/>
    </xf>
    <xf numFmtId="0" fontId="19" fillId="47" borderId="37" xfId="0" applyFont="1" applyFill="1" applyBorder="1" applyAlignment="1">
      <alignment horizontal="center" vertical="center"/>
    </xf>
    <xf numFmtId="0" fontId="19" fillId="47" borderId="0" xfId="0" applyFont="1" applyFill="1" applyBorder="1" applyAlignment="1">
      <alignment horizontal="center" vertical="center"/>
    </xf>
    <xf numFmtId="0" fontId="24" fillId="0" borderId="38" xfId="1805" applyFont="1" applyFill="1" applyBorder="1" applyAlignment="1">
      <alignment horizontal="center" vertical="center" wrapText="1"/>
      <protection/>
    </xf>
    <xf numFmtId="4" fontId="24" fillId="0" borderId="28" xfId="1805" applyNumberFormat="1" applyFont="1" applyFill="1" applyBorder="1" applyAlignment="1">
      <alignment vertical="center" wrapText="1"/>
      <protection/>
    </xf>
    <xf numFmtId="172" fontId="24" fillId="0" borderId="39" xfId="1805" applyNumberFormat="1" applyFont="1" applyFill="1" applyBorder="1" applyAlignment="1">
      <alignment vertical="center" wrapText="1"/>
      <protection/>
    </xf>
    <xf numFmtId="0" fontId="24" fillId="0" borderId="40" xfId="1805" applyFont="1" applyFill="1" applyBorder="1" applyAlignment="1">
      <alignment horizontal="center" vertical="center" wrapText="1"/>
      <protection/>
    </xf>
    <xf numFmtId="4" fontId="24" fillId="0" borderId="27" xfId="1805" applyNumberFormat="1" applyFont="1" applyFill="1" applyBorder="1" applyAlignment="1">
      <alignment vertical="center" wrapText="1"/>
      <protection/>
    </xf>
    <xf numFmtId="172" fontId="24" fillId="0" borderId="41" xfId="1805" applyNumberFormat="1" applyFont="1" applyFill="1" applyBorder="1" applyAlignment="1">
      <alignment vertical="center" wrapText="1"/>
      <protection/>
    </xf>
    <xf numFmtId="2" fontId="0" fillId="0" borderId="27" xfId="0" applyNumberFormat="1" applyFont="1" applyFill="1" applyBorder="1" applyAlignment="1" applyProtection="1">
      <alignment horizontal="center" vertical="center"/>
      <protection/>
    </xf>
    <xf numFmtId="7" fontId="0" fillId="0" borderId="35" xfId="0" applyNumberFormat="1" applyFont="1" applyFill="1" applyBorder="1" applyAlignment="1" applyProtection="1">
      <alignment horizontal="center" vertical="center"/>
      <protection/>
    </xf>
    <xf numFmtId="172" fontId="0" fillId="0" borderId="35"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protection/>
    </xf>
    <xf numFmtId="0" fontId="0" fillId="0" borderId="28" xfId="0" applyFont="1" applyFill="1" applyBorder="1" applyAlignment="1">
      <alignment horizontal="center" vertical="center" wrapText="1"/>
    </xf>
    <xf numFmtId="2" fontId="0" fillId="0" borderId="28" xfId="0" applyNumberFormat="1" applyFont="1" applyFill="1" applyBorder="1" applyAlignment="1">
      <alignment horizontal="center" vertical="center" wrapText="1"/>
    </xf>
    <xf numFmtId="172" fontId="0" fillId="0" borderId="28" xfId="0" applyNumberFormat="1" applyFont="1" applyFill="1" applyBorder="1" applyAlignment="1">
      <alignment horizontal="center" vertical="center" wrapText="1"/>
    </xf>
    <xf numFmtId="0" fontId="19" fillId="0" borderId="33" xfId="0" applyFont="1" applyFill="1" applyBorder="1" applyAlignment="1">
      <alignment horizontal="center" vertical="center" wrapText="1"/>
    </xf>
    <xf numFmtId="172" fontId="0" fillId="0" borderId="27" xfId="1431" applyNumberFormat="1" applyFont="1" applyFill="1" applyBorder="1" applyAlignment="1" applyProtection="1">
      <alignment horizontal="center" vertical="center" wrapText="1"/>
      <protection/>
    </xf>
    <xf numFmtId="7" fontId="0" fillId="0" borderId="27" xfId="0" applyNumberFormat="1" applyFont="1" applyFill="1" applyBorder="1" applyAlignment="1" applyProtection="1">
      <alignment horizontal="center" vertical="center"/>
      <protection/>
    </xf>
    <xf numFmtId="172" fontId="0" fillId="0" borderId="36" xfId="0" applyNumberFormat="1" applyFont="1" applyFill="1" applyBorder="1" applyAlignment="1" applyProtection="1">
      <alignment horizontal="center" vertical="center"/>
      <protection/>
    </xf>
    <xf numFmtId="7" fontId="0" fillId="0" borderId="36" xfId="0" applyNumberFormat="1" applyFont="1" applyFill="1" applyBorder="1" applyAlignment="1" applyProtection="1">
      <alignment horizontal="center" vertical="center"/>
      <protection/>
    </xf>
    <xf numFmtId="0" fontId="0" fillId="54" borderId="27" xfId="0" applyFont="1" applyFill="1" applyBorder="1" applyAlignment="1">
      <alignment horizontal="center" vertical="center"/>
    </xf>
    <xf numFmtId="0" fontId="19" fillId="0" borderId="22" xfId="0" applyFont="1" applyFill="1" applyBorder="1" applyAlignment="1">
      <alignment horizontal="center" vertical="center" wrapText="1"/>
    </xf>
    <xf numFmtId="0" fontId="0" fillId="0" borderId="35"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53" borderId="27" xfId="1551" applyFont="1" applyFill="1" applyBorder="1" applyAlignment="1">
      <alignment horizontal="justify" vertical="center" wrapText="1"/>
      <protection/>
    </xf>
    <xf numFmtId="0" fontId="0" fillId="53" borderId="36" xfId="1551" applyFont="1" applyFill="1" applyBorder="1" applyAlignment="1">
      <alignment horizontal="justify" vertical="center" wrapText="1"/>
      <protection/>
    </xf>
    <xf numFmtId="169" fontId="0" fillId="0" borderId="27" xfId="2361" applyNumberFormat="1" applyFont="1" applyFill="1" applyBorder="1" applyAlignment="1">
      <alignment horizontal="center" vertical="center" wrapText="1"/>
    </xf>
    <xf numFmtId="0" fontId="0" fillId="53" borderId="27" xfId="1551" applyFont="1" applyFill="1" applyBorder="1" applyAlignment="1">
      <alignment vertical="center" wrapText="1"/>
      <protection/>
    </xf>
    <xf numFmtId="169" fontId="0" fillId="0" borderId="27" xfId="1551" applyNumberFormat="1" applyFont="1" applyFill="1" applyBorder="1" applyAlignment="1">
      <alignment horizontal="center" vertical="center" wrapText="1"/>
      <protection/>
    </xf>
    <xf numFmtId="4" fontId="19" fillId="0" borderId="22" xfId="1551" applyNumberFormat="1" applyFont="1" applyFill="1" applyBorder="1" applyAlignment="1">
      <alignment horizontal="center" vertical="center" wrapText="1"/>
      <protection/>
    </xf>
    <xf numFmtId="169" fontId="0" fillId="0" borderId="36" xfId="1551" applyNumberFormat="1" applyFont="1" applyFill="1" applyBorder="1" applyAlignment="1">
      <alignment horizontal="center" vertical="center" wrapText="1"/>
      <protection/>
    </xf>
    <xf numFmtId="0" fontId="0" fillId="0" borderId="27" xfId="1551" applyNumberFormat="1" applyFont="1" applyFill="1" applyBorder="1" applyAlignment="1">
      <alignment horizontal="center" vertical="center" wrapText="1"/>
      <protection/>
    </xf>
    <xf numFmtId="4" fontId="0" fillId="0" borderId="27" xfId="1551" applyNumberFormat="1" applyFont="1" applyFill="1" applyBorder="1" applyAlignment="1">
      <alignment horizontal="center" vertical="center" wrapText="1"/>
      <protection/>
    </xf>
    <xf numFmtId="172" fontId="0" fillId="0" borderId="36" xfId="2361" applyNumberFormat="1" applyFont="1" applyFill="1" applyBorder="1" applyAlignment="1">
      <alignment horizontal="center" vertical="center" wrapText="1"/>
    </xf>
    <xf numFmtId="172" fontId="0" fillId="0" borderId="27" xfId="2361" applyNumberFormat="1" applyFont="1" applyFill="1" applyBorder="1" applyAlignment="1">
      <alignment horizontal="center" vertical="center" wrapText="1"/>
    </xf>
    <xf numFmtId="169" fontId="0" fillId="0" borderId="28" xfId="1551" applyNumberFormat="1" applyFont="1" applyFill="1" applyBorder="1" applyAlignment="1">
      <alignment horizontal="center" vertical="center" wrapText="1"/>
      <protection/>
    </xf>
    <xf numFmtId="0" fontId="0" fillId="53" borderId="0" xfId="1551" applyFont="1" applyFill="1" applyBorder="1" applyAlignment="1">
      <alignment vertical="center" wrapText="1"/>
      <protection/>
    </xf>
    <xf numFmtId="172" fontId="0" fillId="0" borderId="28" xfId="2361" applyNumberFormat="1" applyFont="1" applyFill="1" applyBorder="1" applyAlignment="1">
      <alignment horizontal="center" vertical="center" wrapText="1"/>
    </xf>
    <xf numFmtId="0" fontId="0" fillId="0" borderId="27" xfId="1551" applyNumberFormat="1" applyFont="1" applyFill="1" applyBorder="1" applyAlignment="1">
      <alignment horizontal="center" vertical="center"/>
      <protection/>
    </xf>
    <xf numFmtId="4" fontId="0" fillId="0" borderId="27" xfId="1551" applyNumberFormat="1" applyFont="1" applyFill="1" applyBorder="1" applyAlignment="1">
      <alignment horizontal="center" vertical="center"/>
      <protection/>
    </xf>
    <xf numFmtId="169" fontId="0" fillId="0" borderId="27" xfId="1803" applyNumberFormat="1" applyFont="1" applyFill="1" applyBorder="1" applyAlignment="1">
      <alignment horizontal="center" vertical="center" wrapText="1"/>
      <protection/>
    </xf>
    <xf numFmtId="0" fontId="0" fillId="0" borderId="27" xfId="1551" applyNumberFormat="1" applyFont="1" applyBorder="1" applyAlignment="1">
      <alignment horizontal="center" vertical="center"/>
      <protection/>
    </xf>
    <xf numFmtId="4" fontId="0" fillId="54" borderId="27" xfId="1551" applyNumberFormat="1" applyFont="1" applyFill="1" applyBorder="1" applyAlignment="1">
      <alignment horizontal="center" vertical="center"/>
      <protection/>
    </xf>
    <xf numFmtId="0" fontId="0" fillId="0" borderId="28" xfId="0" applyFont="1" applyBorder="1" applyAlignment="1">
      <alignment horizontal="center" vertical="center"/>
    </xf>
    <xf numFmtId="2" fontId="33" fillId="0" borderId="27" xfId="0" applyNumberFormat="1" applyFont="1" applyBorder="1" applyAlignment="1">
      <alignment horizontal="center" vertical="center"/>
    </xf>
    <xf numFmtId="0" fontId="33" fillId="0" borderId="36" xfId="0" applyFont="1" applyBorder="1" applyAlignment="1">
      <alignment horizontal="center" vertical="center"/>
    </xf>
    <xf numFmtId="0" fontId="33" fillId="0" borderId="35" xfId="0" applyFont="1" applyBorder="1" applyAlignment="1">
      <alignment horizontal="center" vertical="center"/>
    </xf>
    <xf numFmtId="0" fontId="0" fillId="0" borderId="27" xfId="0" applyFont="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vertical="center" wrapText="1"/>
    </xf>
    <xf numFmtId="0" fontId="19" fillId="0" borderId="22" xfId="0" applyFont="1" applyBorder="1" applyAlignment="1">
      <alignment vertical="center" wrapText="1"/>
    </xf>
    <xf numFmtId="0" fontId="33" fillId="0" borderId="28" xfId="0" applyFont="1" applyBorder="1" applyAlignment="1">
      <alignment horizontal="center" vertical="center"/>
    </xf>
    <xf numFmtId="172" fontId="33" fillId="0" borderId="31" xfId="0" applyNumberFormat="1" applyFont="1" applyBorder="1" applyAlignment="1">
      <alignment horizontal="center" vertical="center"/>
    </xf>
    <xf numFmtId="172" fontId="33" fillId="0" borderId="35" xfId="0" applyNumberFormat="1" applyFont="1" applyBorder="1" applyAlignment="1">
      <alignment horizontal="center" vertical="center"/>
    </xf>
    <xf numFmtId="0" fontId="0" fillId="0" borderId="31" xfId="0" applyFont="1" applyBorder="1" applyAlignment="1">
      <alignment horizontal="center" vertical="center"/>
    </xf>
    <xf numFmtId="0" fontId="19" fillId="0" borderId="21" xfId="0" applyFont="1" applyBorder="1" applyAlignment="1">
      <alignment vertical="center" wrapText="1"/>
    </xf>
    <xf numFmtId="0" fontId="0" fillId="0" borderId="0" xfId="0" applyFont="1" applyBorder="1" applyAlignment="1">
      <alignment horizontal="center" vertical="center"/>
    </xf>
    <xf numFmtId="2" fontId="0" fillId="0" borderId="27" xfId="0" applyNumberFormat="1" applyFont="1" applyFill="1" applyBorder="1" applyAlignment="1">
      <alignment horizontal="center" vertical="center"/>
    </xf>
    <xf numFmtId="172" fontId="0" fillId="0" borderId="27"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172" fontId="0" fillId="0" borderId="35" xfId="0" applyNumberFormat="1" applyFont="1" applyFill="1" applyBorder="1" applyAlignment="1">
      <alignment horizontal="center" vertical="center"/>
    </xf>
    <xf numFmtId="4" fontId="19" fillId="27" borderId="32" xfId="1549" applyNumberFormat="1" applyFont="1" applyFill="1" applyBorder="1" applyAlignment="1">
      <alignment horizontal="center" vertical="center" wrapText="1"/>
      <protection/>
    </xf>
    <xf numFmtId="0" fontId="0" fillId="0" borderId="0" xfId="1549" applyFont="1" applyFill="1" applyAlignment="1" applyProtection="1">
      <alignment vertical="center"/>
      <protection locked="0"/>
    </xf>
    <xf numFmtId="0" fontId="0" fillId="55" borderId="42" xfId="1802" applyFont="1" applyFill="1" applyBorder="1" applyAlignment="1">
      <alignment horizontal="center" vertical="center" wrapText="1"/>
      <protection/>
    </xf>
    <xf numFmtId="0" fontId="19" fillId="0" borderId="23" xfId="0" applyNumberFormat="1" applyFont="1" applyFill="1" applyBorder="1" applyAlignment="1" applyProtection="1">
      <alignment vertical="center"/>
      <protection/>
    </xf>
    <xf numFmtId="169" fontId="19" fillId="54" borderId="23" xfId="1551" applyNumberFormat="1" applyFont="1" applyFill="1" applyBorder="1" applyAlignment="1">
      <alignment vertical="center"/>
      <protection/>
    </xf>
    <xf numFmtId="0" fontId="0" fillId="55" borderId="43" xfId="0" applyFont="1" applyFill="1" applyBorder="1" applyAlignment="1">
      <alignment horizontal="center" vertical="center" wrapText="1"/>
    </xf>
    <xf numFmtId="0" fontId="0" fillId="55" borderId="43" xfId="1802" applyFont="1" applyFill="1" applyBorder="1" applyAlignment="1">
      <alignment horizontal="center" vertical="center" wrapText="1"/>
      <protection/>
    </xf>
    <xf numFmtId="172" fontId="0" fillId="0" borderId="44" xfId="2361" applyNumberFormat="1" applyFont="1" applyFill="1" applyBorder="1" applyAlignment="1">
      <alignment horizontal="center" vertical="center" wrapText="1"/>
    </xf>
    <xf numFmtId="169" fontId="19" fillId="0" borderId="23" xfId="1551" applyNumberFormat="1" applyFont="1" applyFill="1" applyBorder="1" applyAlignment="1">
      <alignment vertical="center" wrapText="1"/>
      <protection/>
    </xf>
    <xf numFmtId="169" fontId="19" fillId="0" borderId="21" xfId="1551" applyNumberFormat="1" applyFont="1" applyFill="1" applyBorder="1" applyAlignment="1">
      <alignment vertical="center" wrapText="1"/>
      <protection/>
    </xf>
    <xf numFmtId="172" fontId="0" fillId="0" borderId="27" xfId="1551" applyNumberFormat="1" applyFont="1" applyFill="1" applyBorder="1" applyAlignment="1">
      <alignment horizontal="center" vertical="center" wrapText="1"/>
      <protection/>
    </xf>
    <xf numFmtId="169" fontId="0" fillId="0" borderId="45" xfId="1551" applyNumberFormat="1" applyFont="1" applyFill="1" applyBorder="1" applyAlignment="1">
      <alignment horizontal="center" vertical="center" wrapText="1"/>
      <protection/>
    </xf>
    <xf numFmtId="172" fontId="0" fillId="0" borderId="46" xfId="2361" applyNumberFormat="1" applyFont="1" applyFill="1" applyBorder="1" applyAlignment="1">
      <alignment horizontal="center" vertical="center" wrapText="1"/>
    </xf>
    <xf numFmtId="0" fontId="33" fillId="0" borderId="27" xfId="1490" applyFont="1" applyBorder="1" applyAlignment="1">
      <alignment horizontal="left" vertical="center" wrapText="1"/>
      <protection/>
    </xf>
    <xf numFmtId="4" fontId="0" fillId="54" borderId="27" xfId="2361" applyNumberFormat="1" applyFont="1" applyFill="1" applyBorder="1" applyAlignment="1">
      <alignment horizontal="center" vertical="center"/>
    </xf>
    <xf numFmtId="2" fontId="0" fillId="0" borderId="27" xfId="1490" applyNumberFormat="1" applyFont="1" applyFill="1" applyBorder="1" applyAlignment="1">
      <alignment horizontal="center" vertical="center"/>
      <protection/>
    </xf>
    <xf numFmtId="0" fontId="0" fillId="0" borderId="27" xfId="1490" applyFont="1" applyFill="1" applyBorder="1" applyAlignment="1">
      <alignment horizontal="left" vertical="center" wrapText="1"/>
      <protection/>
    </xf>
    <xf numFmtId="169" fontId="0" fillId="0" borderId="41" xfId="1551" applyNumberFormat="1" applyFont="1" applyFill="1" applyBorder="1" applyAlignment="1">
      <alignment horizontal="center" vertical="center" wrapText="1"/>
      <protection/>
    </xf>
    <xf numFmtId="172" fontId="0" fillId="0" borderId="27" xfId="1490" applyNumberFormat="1" applyFont="1" applyFill="1" applyBorder="1" applyAlignment="1">
      <alignment horizontal="center" vertical="center"/>
      <protection/>
    </xf>
    <xf numFmtId="4" fontId="19" fillId="0" borderId="22" xfId="1551" applyNumberFormat="1" applyFont="1" applyFill="1" applyBorder="1" applyAlignment="1">
      <alignment horizontal="left" vertical="center" wrapText="1"/>
      <protection/>
    </xf>
    <xf numFmtId="2" fontId="0" fillId="0" borderId="36" xfId="1490" applyNumberFormat="1" applyFont="1" applyFill="1" applyBorder="1" applyAlignment="1">
      <alignment horizontal="center" vertical="center"/>
      <protection/>
    </xf>
    <xf numFmtId="172" fontId="0" fillId="0" borderId="36" xfId="1490" applyNumberFormat="1" applyFont="1" applyFill="1" applyBorder="1" applyAlignment="1">
      <alignment horizontal="center" vertical="center"/>
      <protection/>
    </xf>
    <xf numFmtId="0" fontId="0" fillId="0" borderId="36" xfId="1490" applyFont="1" applyFill="1" applyBorder="1" applyAlignment="1">
      <alignment horizontal="left" vertical="center" wrapText="1"/>
      <protection/>
    </xf>
    <xf numFmtId="2" fontId="0" fillId="0" borderId="35" xfId="1490" applyNumberFormat="1" applyFont="1" applyFill="1" applyBorder="1" applyAlignment="1">
      <alignment horizontal="center" vertical="center"/>
      <protection/>
    </xf>
    <xf numFmtId="172" fontId="0" fillId="0" borderId="35" xfId="2361" applyNumberFormat="1" applyFont="1" applyFill="1" applyBorder="1" applyAlignment="1">
      <alignment horizontal="center" vertical="center" wrapText="1"/>
    </xf>
    <xf numFmtId="2" fontId="33" fillId="0" borderId="36" xfId="1490" applyNumberFormat="1" applyFont="1" applyFill="1" applyBorder="1" applyAlignment="1">
      <alignment horizontal="center" vertical="center"/>
      <protection/>
    </xf>
    <xf numFmtId="172" fontId="0" fillId="0" borderId="36" xfId="1551" applyNumberFormat="1" applyFont="1" applyFill="1" applyBorder="1" applyAlignment="1">
      <alignment horizontal="center" vertical="center" wrapText="1"/>
      <protection/>
    </xf>
    <xf numFmtId="2" fontId="0" fillId="0" borderId="36" xfId="1551" applyNumberFormat="1" applyFont="1" applyFill="1" applyBorder="1" applyAlignment="1">
      <alignment horizontal="center" vertical="center" wrapText="1"/>
      <protection/>
    </xf>
    <xf numFmtId="172" fontId="0" fillId="0" borderId="27" xfId="1438" applyNumberFormat="1" applyFont="1" applyFill="1" applyBorder="1" applyAlignment="1">
      <alignment horizontal="center" vertical="center"/>
    </xf>
    <xf numFmtId="2" fontId="33" fillId="0" borderId="27" xfId="1490" applyNumberFormat="1" applyFont="1" applyFill="1" applyBorder="1" applyAlignment="1">
      <alignment horizontal="center" vertical="center"/>
      <protection/>
    </xf>
    <xf numFmtId="176" fontId="33" fillId="0" borderId="27" xfId="1490" applyNumberFormat="1" applyFont="1" applyFill="1" applyBorder="1" applyAlignment="1">
      <alignment horizontal="center" vertical="center"/>
      <protection/>
    </xf>
    <xf numFmtId="172" fontId="0" fillId="0" borderId="41" xfId="2361" applyNumberFormat="1" applyFont="1" applyFill="1" applyBorder="1" applyAlignment="1">
      <alignment horizontal="center" vertical="center" wrapText="1"/>
    </xf>
    <xf numFmtId="0" fontId="0" fillId="0" borderId="35" xfId="1490" applyFont="1" applyFill="1" applyBorder="1" applyAlignment="1">
      <alignment horizontal="left" vertical="center" wrapText="1"/>
      <protection/>
    </xf>
    <xf numFmtId="172" fontId="0" fillId="0" borderId="36" xfId="2082" applyNumberFormat="1" applyFont="1" applyFill="1" applyBorder="1" applyAlignment="1" applyProtection="1">
      <alignment horizontal="center" vertical="center" wrapText="1"/>
      <protection/>
    </xf>
    <xf numFmtId="0" fontId="0" fillId="53" borderId="35" xfId="1551" applyFont="1" applyFill="1" applyBorder="1" applyAlignment="1">
      <alignment horizontal="justify" vertical="center" wrapText="1"/>
      <protection/>
    </xf>
    <xf numFmtId="172" fontId="0" fillId="0" borderId="35" xfId="2082" applyNumberFormat="1" applyFont="1" applyFill="1" applyBorder="1" applyAlignment="1" applyProtection="1">
      <alignment horizontal="center" vertical="center" wrapText="1"/>
      <protection/>
    </xf>
    <xf numFmtId="2" fontId="0" fillId="0" borderId="27" xfId="1551" applyNumberFormat="1" applyFont="1" applyFill="1" applyBorder="1" applyAlignment="1">
      <alignment horizontal="center" vertical="center" wrapText="1"/>
      <protection/>
    </xf>
    <xf numFmtId="4" fontId="0" fillId="0" borderId="35" xfId="1551" applyNumberFormat="1" applyFont="1" applyFill="1" applyBorder="1" applyAlignment="1">
      <alignment horizontal="center" vertical="center" wrapText="1"/>
      <protection/>
    </xf>
    <xf numFmtId="0" fontId="19" fillId="53" borderId="33" xfId="1551" applyFont="1" applyFill="1" applyBorder="1" applyAlignment="1">
      <alignment horizontal="justify" vertical="center" wrapText="1"/>
      <protection/>
    </xf>
    <xf numFmtId="4" fontId="19" fillId="0" borderId="33" xfId="1551" applyNumberFormat="1" applyFont="1" applyFill="1" applyBorder="1" applyAlignment="1">
      <alignment horizontal="center" vertical="center" wrapText="1"/>
      <protection/>
    </xf>
    <xf numFmtId="176" fontId="33" fillId="0" borderId="35" xfId="1490" applyNumberFormat="1" applyFont="1" applyFill="1" applyBorder="1" applyAlignment="1">
      <alignment horizontal="center" vertical="center"/>
      <protection/>
    </xf>
    <xf numFmtId="172" fontId="0" fillId="0" borderId="35" xfId="1438" applyNumberFormat="1" applyFont="1" applyFill="1" applyBorder="1" applyAlignment="1">
      <alignment horizontal="center" vertical="center"/>
    </xf>
    <xf numFmtId="172" fontId="0" fillId="0" borderId="45" xfId="0" applyNumberFormat="1" applyFont="1" applyFill="1" applyBorder="1" applyAlignment="1" applyProtection="1">
      <alignment horizontal="center" vertical="center"/>
      <protection/>
    </xf>
    <xf numFmtId="172" fontId="0" fillId="0" borderId="41" xfId="0" applyNumberFormat="1" applyFont="1" applyFill="1" applyBorder="1" applyAlignment="1" applyProtection="1">
      <alignment horizontal="center" vertical="center"/>
      <protection/>
    </xf>
    <xf numFmtId="172" fontId="0" fillId="0" borderId="41" xfId="1431" applyNumberFormat="1" applyFont="1" applyFill="1" applyBorder="1" applyAlignment="1" applyProtection="1">
      <alignment horizontal="center" vertical="center" wrapText="1"/>
      <protection/>
    </xf>
    <xf numFmtId="0" fontId="19" fillId="0" borderId="21" xfId="0" applyFont="1" applyFill="1" applyBorder="1" applyAlignment="1">
      <alignment vertical="center" wrapText="1"/>
    </xf>
    <xf numFmtId="0" fontId="19" fillId="0" borderId="22" xfId="1551" applyFont="1" applyFill="1" applyBorder="1" applyAlignment="1">
      <alignment horizontal="left" vertical="center" wrapText="1"/>
      <protection/>
    </xf>
    <xf numFmtId="172" fontId="19" fillId="0" borderId="23" xfId="0" applyNumberFormat="1" applyFont="1" applyFill="1" applyBorder="1" applyAlignment="1" applyProtection="1">
      <alignment vertical="center"/>
      <protection/>
    </xf>
    <xf numFmtId="169" fontId="19" fillId="0" borderId="23" xfId="0" applyNumberFormat="1" applyFont="1" applyFill="1" applyBorder="1" applyAlignment="1" applyProtection="1">
      <alignment vertical="center"/>
      <protection/>
    </xf>
    <xf numFmtId="172" fontId="19" fillId="0" borderId="37" xfId="0" applyNumberFormat="1" applyFont="1" applyFill="1" applyBorder="1" applyAlignment="1" applyProtection="1">
      <alignment vertical="center"/>
      <protection/>
    </xf>
    <xf numFmtId="172" fontId="19"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169" fontId="19" fillId="0" borderId="0" xfId="0" applyNumberFormat="1" applyFont="1" applyFill="1" applyBorder="1" applyAlignment="1" applyProtection="1">
      <alignment vertical="center"/>
      <protection/>
    </xf>
    <xf numFmtId="0" fontId="0" fillId="55" borderId="22" xfId="1802" applyFont="1" applyFill="1" applyBorder="1" applyAlignment="1">
      <alignment horizontal="center" vertical="center" wrapText="1"/>
      <protection/>
    </xf>
    <xf numFmtId="0" fontId="0" fillId="55" borderId="33" xfId="1802" applyFont="1" applyFill="1" applyBorder="1" applyAlignment="1">
      <alignment horizontal="center" vertical="center" wrapText="1"/>
      <protection/>
    </xf>
    <xf numFmtId="0" fontId="0" fillId="55" borderId="34" xfId="1802" applyFont="1" applyFill="1" applyBorder="1" applyAlignment="1">
      <alignment horizontal="center" vertical="center" wrapText="1"/>
      <protection/>
    </xf>
    <xf numFmtId="0" fontId="0" fillId="55" borderId="47" xfId="1802" applyFont="1" applyFill="1" applyBorder="1" applyAlignment="1">
      <alignment horizontal="center" vertical="center" wrapText="1"/>
      <protection/>
    </xf>
    <xf numFmtId="0" fontId="0" fillId="55" borderId="48" xfId="1802" applyFont="1" applyFill="1" applyBorder="1" applyAlignment="1">
      <alignment horizontal="center" vertical="center" wrapText="1"/>
      <protection/>
    </xf>
    <xf numFmtId="172" fontId="0" fillId="0" borderId="39" xfId="2361" applyNumberFormat="1" applyFont="1" applyFill="1" applyBorder="1" applyAlignment="1">
      <alignment horizontal="center" vertical="center" wrapText="1"/>
    </xf>
    <xf numFmtId="172" fontId="0" fillId="0" borderId="45" xfId="2361" applyNumberFormat="1" applyFont="1" applyFill="1" applyBorder="1" applyAlignment="1">
      <alignment horizontal="center" vertical="center" wrapText="1"/>
    </xf>
    <xf numFmtId="172" fontId="0" fillId="0" borderId="49" xfId="2361" applyNumberFormat="1" applyFont="1" applyFill="1" applyBorder="1" applyAlignment="1">
      <alignment horizontal="center" vertical="center" wrapText="1"/>
    </xf>
    <xf numFmtId="169" fontId="0" fillId="0" borderId="44" xfId="1803" applyNumberFormat="1" applyFont="1" applyFill="1" applyBorder="1" applyAlignment="1">
      <alignment horizontal="center" vertical="center" wrapText="1"/>
      <protection/>
    </xf>
    <xf numFmtId="0" fontId="0" fillId="55" borderId="43" xfId="1551" applyFont="1" applyFill="1" applyBorder="1" applyAlignment="1">
      <alignment horizontal="center" vertical="center" wrapText="1"/>
      <protection/>
    </xf>
    <xf numFmtId="172" fontId="0" fillId="0" borderId="45" xfId="2082" applyNumberFormat="1" applyFont="1" applyFill="1" applyBorder="1" applyAlignment="1" applyProtection="1">
      <alignment horizontal="center" vertical="center" wrapText="1"/>
      <protection/>
    </xf>
    <xf numFmtId="172" fontId="0" fillId="0" borderId="49" xfId="2082" applyNumberFormat="1" applyFont="1" applyFill="1" applyBorder="1" applyAlignment="1" applyProtection="1">
      <alignment horizontal="center" vertical="center" wrapText="1"/>
      <protection/>
    </xf>
    <xf numFmtId="172" fontId="0" fillId="0" borderId="45" xfId="1490" applyNumberFormat="1" applyFont="1" applyFill="1" applyBorder="1" applyAlignment="1">
      <alignment horizontal="center" vertical="center"/>
      <protection/>
    </xf>
    <xf numFmtId="172" fontId="0" fillId="0" borderId="41" xfId="1490" applyNumberFormat="1" applyFont="1" applyFill="1" applyBorder="1" applyAlignment="1">
      <alignment horizontal="center" vertical="center"/>
      <protection/>
    </xf>
    <xf numFmtId="172" fontId="0" fillId="0" borderId="49" xfId="1490" applyNumberFormat="1" applyFont="1" applyFill="1" applyBorder="1" applyAlignment="1">
      <alignment horizontal="center" vertical="center"/>
      <protection/>
    </xf>
    <xf numFmtId="2" fontId="33" fillId="0" borderId="36" xfId="0" applyNumberFormat="1" applyFont="1" applyBorder="1" applyAlignment="1">
      <alignment horizontal="center" vertical="center"/>
    </xf>
    <xf numFmtId="2" fontId="33" fillId="0" borderId="35" xfId="0" applyNumberFormat="1" applyFont="1" applyBorder="1" applyAlignment="1">
      <alignment horizontal="center" vertical="center"/>
    </xf>
    <xf numFmtId="2" fontId="33" fillId="0" borderId="36" xfId="2361" applyNumberFormat="1" applyFont="1" applyFill="1" applyBorder="1" applyAlignment="1">
      <alignment horizontal="center" vertical="center" wrapText="1"/>
    </xf>
    <xf numFmtId="4" fontId="33" fillId="0" borderId="27" xfId="2361" applyNumberFormat="1" applyFont="1" applyFill="1" applyBorder="1" applyAlignment="1">
      <alignment horizontal="center" vertical="center" wrapText="1"/>
    </xf>
    <xf numFmtId="2" fontId="33" fillId="0" borderId="27" xfId="2361" applyNumberFormat="1" applyFont="1" applyFill="1" applyBorder="1" applyAlignment="1">
      <alignment horizontal="center" vertical="center" wrapText="1"/>
    </xf>
    <xf numFmtId="2" fontId="33" fillId="0" borderId="35" xfId="2361" applyNumberFormat="1" applyFont="1" applyFill="1" applyBorder="1" applyAlignment="1">
      <alignment horizontal="center" vertical="center" wrapText="1"/>
    </xf>
    <xf numFmtId="2" fontId="33" fillId="0" borderId="28" xfId="2361" applyNumberFormat="1" applyFont="1" applyFill="1" applyBorder="1" applyAlignment="1">
      <alignment horizontal="center" vertical="center" wrapText="1"/>
    </xf>
    <xf numFmtId="2" fontId="33" fillId="0" borderId="31" xfId="2361" applyNumberFormat="1" applyFont="1" applyFill="1" applyBorder="1" applyAlignment="1">
      <alignment horizontal="center" vertical="center" wrapText="1"/>
    </xf>
    <xf numFmtId="2" fontId="33" fillId="0" borderId="27" xfId="0" applyNumberFormat="1" applyFont="1" applyFill="1" applyBorder="1" applyAlignment="1">
      <alignment horizontal="center" vertical="center"/>
    </xf>
    <xf numFmtId="0" fontId="27" fillId="0" borderId="0" xfId="1710" applyFont="1" applyAlignment="1">
      <alignment horizontal="center" vertical="center"/>
      <protection/>
    </xf>
    <xf numFmtId="2" fontId="0" fillId="0" borderId="35" xfId="1551" applyNumberFormat="1" applyFont="1" applyFill="1" applyBorder="1" applyAlignment="1">
      <alignment horizontal="center" vertical="center" wrapText="1"/>
      <protection/>
    </xf>
    <xf numFmtId="0" fontId="27" fillId="0" borderId="0" xfId="1710" applyFont="1" applyBorder="1" applyAlignment="1">
      <alignment horizontal="center"/>
      <protection/>
    </xf>
    <xf numFmtId="0" fontId="33" fillId="0" borderId="27" xfId="0" applyFont="1" applyBorder="1" applyAlignment="1">
      <alignment horizontal="justify" vertical="center"/>
    </xf>
    <xf numFmtId="0" fontId="42" fillId="0" borderId="0" xfId="0" applyFont="1" applyBorder="1" applyAlignment="1">
      <alignment vertical="center"/>
    </xf>
    <xf numFmtId="172" fontId="42" fillId="0" borderId="0" xfId="0" applyNumberFormat="1" applyFont="1" applyBorder="1" applyAlignment="1">
      <alignment vertical="center"/>
    </xf>
    <xf numFmtId="169" fontId="19" fillId="0" borderId="37" xfId="1551" applyNumberFormat="1" applyFont="1" applyFill="1" applyBorder="1" applyAlignment="1">
      <alignment vertical="center" wrapText="1"/>
      <protection/>
    </xf>
    <xf numFmtId="4" fontId="19" fillId="0" borderId="33" xfId="1551" applyNumberFormat="1" applyFont="1" applyFill="1" applyBorder="1" applyAlignment="1">
      <alignment horizontal="left" vertical="center" wrapText="1"/>
      <protection/>
    </xf>
    <xf numFmtId="0" fontId="19" fillId="53" borderId="34" xfId="1551" applyFont="1" applyFill="1" applyBorder="1" applyAlignment="1">
      <alignment horizontal="left" vertical="center" wrapText="1"/>
      <protection/>
    </xf>
    <xf numFmtId="172" fontId="33" fillId="0" borderId="50" xfId="0" applyNumberFormat="1" applyFont="1" applyBorder="1" applyAlignment="1">
      <alignment horizontal="center" vertical="center"/>
    </xf>
    <xf numFmtId="172" fontId="0" fillId="0" borderId="51" xfId="2361" applyNumberFormat="1" applyFont="1" applyFill="1" applyBorder="1" applyAlignment="1">
      <alignment horizontal="center" vertical="center" wrapText="1"/>
    </xf>
    <xf numFmtId="167" fontId="19" fillId="19" borderId="22" xfId="2341" applyNumberFormat="1" applyFont="1" applyFill="1" applyBorder="1" applyAlignment="1" applyProtection="1">
      <alignment horizontal="center" vertical="center" wrapText="1"/>
      <protection/>
    </xf>
    <xf numFmtId="167" fontId="0" fillId="0" borderId="0" xfId="0" applyNumberFormat="1" applyAlignment="1">
      <alignment horizontal="center"/>
    </xf>
    <xf numFmtId="0" fontId="19" fillId="0" borderId="33" xfId="1551" applyNumberFormat="1" applyFont="1" applyFill="1" applyBorder="1" applyAlignment="1">
      <alignment horizontal="center" vertical="center" wrapText="1"/>
      <protection/>
    </xf>
    <xf numFmtId="4" fontId="0" fillId="0" borderId="36" xfId="1551" applyNumberFormat="1" applyFont="1" applyFill="1" applyBorder="1" applyAlignment="1">
      <alignment horizontal="justify" vertical="center" wrapText="1"/>
      <protection/>
    </xf>
    <xf numFmtId="0" fontId="33" fillId="0" borderId="27" xfId="0" applyFont="1" applyBorder="1" applyAlignment="1">
      <alignment horizontal="justify" vertical="center" wrapText="1"/>
    </xf>
    <xf numFmtId="0" fontId="0" fillId="0" borderId="27" xfId="0" applyFont="1" applyFill="1" applyBorder="1" applyAlignment="1">
      <alignment horizontal="justify" vertical="center" wrapText="1"/>
    </xf>
    <xf numFmtId="0" fontId="0" fillId="0" borderId="35" xfId="0" applyFont="1" applyFill="1" applyBorder="1" applyAlignment="1">
      <alignment horizontal="justify" vertical="center" wrapText="1"/>
    </xf>
    <xf numFmtId="0" fontId="0" fillId="0" borderId="36" xfId="0" applyFont="1" applyFill="1" applyBorder="1" applyAlignment="1">
      <alignment horizontal="justify" vertical="center" wrapText="1"/>
    </xf>
    <xf numFmtId="172" fontId="0" fillId="0" borderId="49" xfId="0" applyNumberFormat="1" applyFont="1" applyFill="1" applyBorder="1" applyAlignment="1" applyProtection="1">
      <alignment horizontal="center" vertical="center"/>
      <protection/>
    </xf>
    <xf numFmtId="172" fontId="0" fillId="0" borderId="45" xfId="1551" applyNumberFormat="1" applyFont="1" applyFill="1" applyBorder="1" applyAlignment="1">
      <alignment horizontal="center" vertical="center" wrapText="1"/>
      <protection/>
    </xf>
    <xf numFmtId="172" fontId="0" fillId="0" borderId="41" xfId="1551" applyNumberFormat="1" applyFont="1" applyFill="1" applyBorder="1" applyAlignment="1">
      <alignment horizontal="center" vertical="center" wrapText="1"/>
      <protection/>
    </xf>
    <xf numFmtId="172" fontId="0" fillId="0" borderId="49" xfId="1551" applyNumberFormat="1" applyFont="1" applyFill="1" applyBorder="1" applyAlignment="1">
      <alignment horizontal="center" vertical="center" wrapText="1"/>
      <protection/>
    </xf>
    <xf numFmtId="2" fontId="0" fillId="0" borderId="28" xfId="1551" applyNumberFormat="1" applyFont="1" applyFill="1" applyBorder="1" applyAlignment="1">
      <alignment horizontal="center" vertical="center" wrapText="1"/>
      <protection/>
    </xf>
    <xf numFmtId="0" fontId="0" fillId="0" borderId="52" xfId="0" applyNumberFormat="1" applyFont="1" applyFill="1" applyBorder="1" applyAlignment="1" applyProtection="1">
      <alignment horizontal="center" vertical="center"/>
      <protection/>
    </xf>
    <xf numFmtId="2" fontId="33" fillId="0" borderId="52" xfId="2361" applyNumberFormat="1" applyFont="1" applyFill="1" applyBorder="1" applyAlignment="1">
      <alignment horizontal="center" vertical="center" wrapText="1"/>
    </xf>
    <xf numFmtId="165" fontId="0" fillId="0" borderId="52" xfId="1431" applyFont="1" applyFill="1" applyBorder="1" applyAlignment="1" applyProtection="1">
      <alignment horizontal="center" vertical="center" wrapText="1"/>
      <protection/>
    </xf>
    <xf numFmtId="165" fontId="0" fillId="0" borderId="53" xfId="1431" applyFont="1" applyFill="1" applyBorder="1" applyAlignment="1" applyProtection="1">
      <alignment horizontal="center" vertical="center" wrapText="1"/>
      <protection/>
    </xf>
    <xf numFmtId="0" fontId="19" fillId="47" borderId="37" xfId="0" applyFont="1" applyFill="1" applyBorder="1" applyAlignment="1">
      <alignment vertical="center"/>
    </xf>
    <xf numFmtId="0" fontId="19" fillId="47" borderId="0" xfId="0" applyFont="1" applyFill="1" applyBorder="1" applyAlignment="1">
      <alignment vertical="center"/>
    </xf>
    <xf numFmtId="0" fontId="19" fillId="47" borderId="25" xfId="0" applyFont="1" applyFill="1" applyBorder="1" applyAlignment="1">
      <alignment vertical="center"/>
    </xf>
    <xf numFmtId="0" fontId="19" fillId="47" borderId="26" xfId="0" applyFont="1" applyFill="1" applyBorder="1" applyAlignment="1">
      <alignment vertical="center"/>
    </xf>
    <xf numFmtId="172" fontId="0" fillId="0" borderId="43" xfId="1403" applyNumberFormat="1" applyFont="1" applyFill="1" applyBorder="1" applyAlignment="1">
      <alignment horizontal="center" vertical="center"/>
    </xf>
    <xf numFmtId="172" fontId="0" fillId="0" borderId="33" xfId="1403" applyNumberFormat="1" applyFont="1" applyFill="1" applyBorder="1" applyAlignment="1">
      <alignment horizontal="center" vertical="center"/>
    </xf>
    <xf numFmtId="172" fontId="0" fillId="0" borderId="34" xfId="1403" applyNumberFormat="1" applyFont="1" applyFill="1" applyBorder="1" applyAlignment="1">
      <alignment horizontal="center" vertical="center"/>
    </xf>
    <xf numFmtId="172" fontId="0" fillId="0" borderId="48" xfId="1403" applyNumberFormat="1" applyFont="1" applyFill="1" applyBorder="1" applyAlignment="1">
      <alignment horizontal="center" vertical="center"/>
    </xf>
    <xf numFmtId="49" fontId="19" fillId="0" borderId="33" xfId="0" applyNumberFormat="1" applyFont="1" applyFill="1" applyBorder="1" applyAlignment="1">
      <alignment horizontal="center" vertical="center"/>
    </xf>
    <xf numFmtId="173" fontId="0" fillId="0" borderId="32" xfId="1901" applyNumberFormat="1" applyFont="1" applyFill="1" applyBorder="1" applyAlignment="1">
      <alignment horizontal="center" vertical="center"/>
    </xf>
    <xf numFmtId="173" fontId="0" fillId="0" borderId="47" xfId="1901" applyNumberFormat="1" applyFont="1" applyFill="1" applyBorder="1" applyAlignment="1">
      <alignment horizontal="center" vertical="center"/>
    </xf>
    <xf numFmtId="175" fontId="0" fillId="29" borderId="24" xfId="0" applyNumberFormat="1" applyFont="1" applyFill="1" applyBorder="1" applyAlignment="1">
      <alignment horizontal="center" vertical="center"/>
    </xf>
    <xf numFmtId="172" fontId="0" fillId="0" borderId="25" xfId="1403" applyNumberFormat="1" applyFont="1" applyFill="1" applyBorder="1" applyAlignment="1">
      <alignment horizontal="center" vertical="center"/>
    </xf>
    <xf numFmtId="172" fontId="0" fillId="0" borderId="24" xfId="1403" applyNumberFormat="1" applyFont="1" applyFill="1" applyBorder="1" applyAlignment="1">
      <alignment horizontal="center" vertical="center"/>
    </xf>
    <xf numFmtId="175" fontId="0" fillId="0" borderId="24" xfId="0" applyNumberFormat="1" applyFont="1" applyFill="1" applyBorder="1" applyAlignment="1">
      <alignment horizontal="center" vertical="center"/>
    </xf>
    <xf numFmtId="172" fontId="0" fillId="0" borderId="32" xfId="1403" applyNumberFormat="1" applyFont="1" applyFill="1" applyBorder="1" applyAlignment="1">
      <alignment horizontal="center" vertical="center"/>
    </xf>
    <xf numFmtId="0" fontId="0" fillId="47" borderId="0" xfId="0" applyFill="1" applyBorder="1" applyAlignment="1">
      <alignment/>
    </xf>
    <xf numFmtId="0" fontId="0" fillId="47" borderId="37" xfId="0" applyFill="1" applyBorder="1" applyAlignment="1">
      <alignment/>
    </xf>
    <xf numFmtId="0" fontId="0" fillId="47" borderId="0" xfId="0" applyFill="1" applyBorder="1" applyAlignment="1">
      <alignment/>
    </xf>
    <xf numFmtId="0" fontId="0" fillId="47" borderId="32" xfId="0" applyFill="1" applyBorder="1" applyAlignment="1">
      <alignment/>
    </xf>
    <xf numFmtId="0" fontId="0" fillId="47" borderId="24" xfId="0" applyFill="1" applyBorder="1" applyAlignment="1">
      <alignment/>
    </xf>
    <xf numFmtId="0" fontId="0" fillId="47" borderId="37" xfId="0" applyFill="1" applyBorder="1" applyAlignment="1">
      <alignment/>
    </xf>
    <xf numFmtId="0" fontId="0" fillId="47" borderId="26" xfId="0" applyFill="1" applyBorder="1" applyAlignment="1">
      <alignment/>
    </xf>
    <xf numFmtId="0" fontId="0" fillId="0" borderId="37" xfId="0" applyBorder="1" applyAlignment="1">
      <alignment/>
    </xf>
    <xf numFmtId="0" fontId="0" fillId="0" borderId="47" xfId="0" applyBorder="1" applyAlignment="1">
      <alignment/>
    </xf>
    <xf numFmtId="173" fontId="0" fillId="0" borderId="33" xfId="1901" applyNumberFormat="1"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174" fontId="0" fillId="0" borderId="37" xfId="0" applyNumberFormat="1" applyFont="1" applyFill="1" applyBorder="1" applyAlignment="1">
      <alignment vertical="center"/>
    </xf>
    <xf numFmtId="10"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Border="1" applyAlignment="1">
      <alignment/>
    </xf>
    <xf numFmtId="0" fontId="0" fillId="0" borderId="26" xfId="0" applyBorder="1" applyAlignment="1">
      <alignment/>
    </xf>
    <xf numFmtId="0" fontId="0" fillId="0" borderId="48" xfId="0" applyBorder="1" applyAlignment="1">
      <alignment/>
    </xf>
    <xf numFmtId="10" fontId="24" fillId="0" borderId="24" xfId="0" applyNumberFormat="1" applyFont="1" applyFill="1" applyBorder="1" applyAlignment="1">
      <alignment vertical="center" wrapText="1"/>
    </xf>
    <xf numFmtId="0" fontId="0" fillId="0" borderId="24" xfId="0" applyBorder="1" applyAlignment="1">
      <alignment/>
    </xf>
    <xf numFmtId="0" fontId="0" fillId="0" borderId="27" xfId="1551" applyFont="1" applyFill="1" applyBorder="1" applyAlignment="1">
      <alignment horizontal="justify" vertical="center" wrapText="1"/>
      <protection/>
    </xf>
    <xf numFmtId="0" fontId="0" fillId="0" borderId="27"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1" xfId="0" applyFont="1" applyBorder="1" applyAlignment="1">
      <alignment horizontal="justify" vertical="center"/>
    </xf>
    <xf numFmtId="175" fontId="0" fillId="29" borderId="43" xfId="0" applyNumberFormat="1" applyFont="1" applyFill="1" applyBorder="1" applyAlignment="1">
      <alignment horizontal="center" vertical="center"/>
    </xf>
    <xf numFmtId="175" fontId="0" fillId="0" borderId="43" xfId="0" applyNumberFormat="1" applyFont="1" applyFill="1" applyBorder="1" applyAlignment="1">
      <alignment horizontal="center" vertical="center"/>
    </xf>
    <xf numFmtId="0" fontId="0" fillId="47" borderId="47" xfId="0" applyFill="1" applyBorder="1" applyAlignment="1">
      <alignment/>
    </xf>
    <xf numFmtId="0" fontId="0" fillId="47" borderId="42" xfId="0" applyFill="1" applyBorder="1" applyAlignment="1">
      <alignment/>
    </xf>
    <xf numFmtId="0" fontId="0" fillId="47" borderId="48" xfId="0" applyFill="1" applyBorder="1" applyAlignment="1">
      <alignment/>
    </xf>
    <xf numFmtId="173" fontId="0" fillId="0" borderId="54" xfId="0" applyNumberFormat="1" applyFont="1" applyFill="1" applyBorder="1" applyAlignment="1">
      <alignment horizontal="center" vertical="center"/>
    </xf>
    <xf numFmtId="173" fontId="19" fillId="0" borderId="55" xfId="0" applyNumberFormat="1" applyFont="1" applyFill="1" applyBorder="1" applyAlignment="1">
      <alignment horizontal="center" vertical="center"/>
    </xf>
    <xf numFmtId="9" fontId="0" fillId="0" borderId="24" xfId="1901" applyFont="1" applyFill="1" applyBorder="1" applyAlignment="1">
      <alignment horizontal="center" vertical="center"/>
    </xf>
    <xf numFmtId="0" fontId="0" fillId="0" borderId="27" xfId="0" applyNumberFormat="1" applyFont="1" applyFill="1" applyBorder="1" applyAlignment="1" applyProtection="1">
      <alignment horizontal="center" vertical="center"/>
      <protection/>
    </xf>
    <xf numFmtId="2" fontId="0" fillId="0" borderId="36" xfId="0" applyNumberFormat="1" applyFont="1" applyFill="1" applyBorder="1" applyAlignment="1">
      <alignment horizontal="center" vertical="center"/>
    </xf>
    <xf numFmtId="2" fontId="0" fillId="0" borderId="27"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28" xfId="0" applyNumberFormat="1" applyFont="1" applyBorder="1" applyAlignment="1">
      <alignment horizontal="center" vertical="center"/>
    </xf>
    <xf numFmtId="2" fontId="0" fillId="0" borderId="31" xfId="0" applyNumberFormat="1" applyFont="1" applyBorder="1" applyAlignment="1">
      <alignment horizontal="center" vertical="center"/>
    </xf>
    <xf numFmtId="2" fontId="33" fillId="0" borderId="28" xfId="0" applyNumberFormat="1" applyFont="1" applyBorder="1" applyAlignment="1">
      <alignment horizontal="center" vertical="center"/>
    </xf>
    <xf numFmtId="169" fontId="0" fillId="0" borderId="36" xfId="1551" applyNumberFormat="1" applyFont="1" applyFill="1" applyBorder="1" applyAlignment="1">
      <alignment horizontal="center" vertical="center" wrapText="1"/>
      <protection/>
    </xf>
    <xf numFmtId="171" fontId="33" fillId="0" borderId="27" xfId="0" applyNumberFormat="1" applyFont="1" applyFill="1" applyBorder="1" applyAlignment="1">
      <alignment horizontal="center" vertical="center"/>
    </xf>
    <xf numFmtId="165" fontId="0" fillId="0" borderId="28" xfId="1347" applyFont="1" applyBorder="1" applyAlignment="1">
      <alignment/>
    </xf>
    <xf numFmtId="165" fontId="0" fillId="0" borderId="44" xfId="1347" applyFont="1" applyFill="1" applyBorder="1" applyAlignment="1" applyProtection="1">
      <alignment horizontal="center" vertical="center"/>
      <protection/>
    </xf>
    <xf numFmtId="0" fontId="0" fillId="0" borderId="27" xfId="1711" applyFont="1" applyFill="1" applyBorder="1" applyAlignment="1">
      <alignment horizontal="center"/>
      <protection/>
    </xf>
    <xf numFmtId="2" fontId="0" fillId="0" borderId="36" xfId="2019" applyNumberFormat="1" applyFont="1" applyFill="1" applyBorder="1" applyAlignment="1">
      <alignment horizontal="center" vertical="center"/>
    </xf>
    <xf numFmtId="2" fontId="0" fillId="0" borderId="27" xfId="2019" applyNumberFormat="1" applyFont="1" applyFill="1" applyBorder="1" applyAlignment="1">
      <alignment horizontal="center" vertical="center"/>
    </xf>
    <xf numFmtId="2" fontId="0" fillId="0" borderId="27" xfId="2056" applyNumberFormat="1" applyFont="1" applyFill="1" applyBorder="1" applyAlignment="1">
      <alignment horizontal="center" vertical="center"/>
    </xf>
    <xf numFmtId="0" fontId="19" fillId="0" borderId="33" xfId="1551" applyNumberFormat="1" applyFont="1" applyFill="1" applyBorder="1" applyAlignment="1">
      <alignment horizontal="left" vertical="center" wrapText="1"/>
      <protection/>
    </xf>
    <xf numFmtId="0" fontId="19" fillId="0" borderId="43" xfId="1802" applyFont="1" applyFill="1" applyBorder="1" applyAlignment="1">
      <alignment horizontal="center" vertical="center" wrapText="1"/>
      <protection/>
    </xf>
    <xf numFmtId="0" fontId="19" fillId="0" borderId="43" xfId="1551" applyFont="1" applyFill="1" applyBorder="1" applyAlignment="1">
      <alignment horizontal="left" vertical="center" wrapText="1"/>
      <protection/>
    </xf>
    <xf numFmtId="168" fontId="0" fillId="0" borderId="45" xfId="1347" applyNumberFormat="1" applyFont="1" applyBorder="1" applyAlignment="1">
      <alignment horizontal="center" vertical="center"/>
    </xf>
    <xf numFmtId="168" fontId="0" fillId="0" borderId="41" xfId="1347" applyNumberFormat="1" applyFont="1" applyBorder="1" applyAlignment="1">
      <alignment horizontal="center" vertical="center"/>
    </xf>
    <xf numFmtId="0" fontId="0" fillId="54" borderId="35" xfId="0" applyFont="1" applyFill="1" applyBorder="1" applyAlignment="1">
      <alignment horizontal="center" vertical="center"/>
    </xf>
    <xf numFmtId="4" fontId="0" fillId="54" borderId="35" xfId="2361" applyNumberFormat="1" applyFont="1" applyFill="1" applyBorder="1" applyAlignment="1">
      <alignment horizontal="center" vertical="center"/>
    </xf>
    <xf numFmtId="168" fontId="0" fillId="0" borderId="49" xfId="1347" applyNumberFormat="1" applyFont="1" applyBorder="1" applyAlignment="1">
      <alignment horizontal="center" vertical="center"/>
    </xf>
    <xf numFmtId="0" fontId="0" fillId="55" borderId="47" xfId="0" applyNumberFormat="1" applyFont="1" applyFill="1" applyBorder="1" applyAlignment="1" applyProtection="1">
      <alignment horizontal="center" vertical="center"/>
      <protection/>
    </xf>
    <xf numFmtId="2" fontId="0" fillId="0" borderId="35" xfId="0" applyNumberFormat="1" applyFont="1" applyFill="1" applyBorder="1" applyAlignment="1" applyProtection="1">
      <alignment horizontal="center" vertical="center"/>
      <protection/>
    </xf>
    <xf numFmtId="0" fontId="0" fillId="55" borderId="42" xfId="0" applyNumberFormat="1" applyFont="1" applyFill="1" applyBorder="1" applyAlignment="1" applyProtection="1">
      <alignment horizontal="center" vertical="center"/>
      <protection/>
    </xf>
    <xf numFmtId="0" fontId="0" fillId="55" borderId="42" xfId="0" applyFont="1" applyFill="1" applyBorder="1" applyAlignment="1">
      <alignment horizontal="center" vertical="center" wrapText="1"/>
    </xf>
    <xf numFmtId="0" fontId="0" fillId="54" borderId="27" xfId="1806" applyFont="1" applyFill="1" applyBorder="1" applyAlignment="1">
      <alignment horizontal="justify" vertical="center" wrapText="1"/>
      <protection/>
    </xf>
    <xf numFmtId="0" fontId="0" fillId="19" borderId="27" xfId="1711" applyFont="1" applyFill="1" applyBorder="1" applyAlignment="1" applyProtection="1">
      <alignment horizontal="center" vertical="center" wrapText="1"/>
      <protection/>
    </xf>
    <xf numFmtId="0" fontId="0" fillId="0" borderId="27" xfId="0" applyFont="1" applyFill="1" applyBorder="1" applyAlignment="1">
      <alignment horizontal="justify" vertical="center" wrapText="1"/>
    </xf>
    <xf numFmtId="0" fontId="0" fillId="0" borderId="27" xfId="0" applyFont="1" applyFill="1" applyBorder="1" applyAlignment="1">
      <alignment horizontal="center" vertical="center"/>
    </xf>
    <xf numFmtId="169" fontId="0" fillId="0" borderId="27" xfId="1803" applyNumberFormat="1" applyFont="1" applyFill="1" applyBorder="1" applyAlignment="1">
      <alignment horizontal="right" vertical="center" wrapText="1"/>
      <protection/>
    </xf>
    <xf numFmtId="0" fontId="0" fillId="0" borderId="27" xfId="1551" applyNumberFormat="1" applyFont="1" applyFill="1" applyBorder="1" applyAlignment="1">
      <alignment horizontal="center" vertical="center"/>
      <protection/>
    </xf>
    <xf numFmtId="0" fontId="32" fillId="0" borderId="0" xfId="1711" applyFont="1" applyAlignment="1">
      <alignment vertical="center"/>
      <protection/>
    </xf>
    <xf numFmtId="168" fontId="0" fillId="0" borderId="28" xfId="1403" applyFont="1" applyFill="1" applyBorder="1" applyAlignment="1" applyProtection="1">
      <alignment horizontal="center" vertical="center"/>
      <protection/>
    </xf>
    <xf numFmtId="0" fontId="27" fillId="0" borderId="0" xfId="1711" applyFont="1">
      <alignment/>
      <protection/>
    </xf>
    <xf numFmtId="167" fontId="0" fillId="0" borderId="28" xfId="2076" applyNumberFormat="1" applyFont="1" applyFill="1" applyBorder="1" applyAlignment="1" applyProtection="1">
      <alignment horizontal="center" vertical="center"/>
      <protection/>
    </xf>
    <xf numFmtId="4" fontId="0" fillId="0" borderId="27" xfId="1551" applyNumberFormat="1" applyFont="1" applyFill="1" applyBorder="1" applyAlignment="1">
      <alignment horizontal="justify" vertical="center" wrapText="1"/>
      <protection/>
    </xf>
    <xf numFmtId="0" fontId="0" fillId="53" borderId="52" xfId="1551" applyFont="1" applyFill="1" applyBorder="1" applyAlignment="1">
      <alignment horizontal="justify" vertical="center" wrapText="1"/>
      <protection/>
    </xf>
    <xf numFmtId="0" fontId="0" fillId="0" borderId="27" xfId="0" applyFont="1" applyBorder="1" applyAlignment="1">
      <alignment horizontal="justify" vertical="center" wrapText="1"/>
    </xf>
    <xf numFmtId="4" fontId="0" fillId="0" borderId="28" xfId="1551" applyNumberFormat="1" applyFont="1" applyFill="1" applyBorder="1" applyAlignment="1">
      <alignment horizontal="justify" vertical="center" wrapText="1"/>
      <protection/>
    </xf>
    <xf numFmtId="4" fontId="0" fillId="0" borderId="27" xfId="1551" applyNumberFormat="1" applyFont="1" applyFill="1" applyBorder="1" applyAlignment="1">
      <alignment horizontal="justify" vertical="center" wrapText="1"/>
      <protection/>
    </xf>
    <xf numFmtId="0" fontId="33" fillId="0" borderId="27" xfId="1803" applyFont="1" applyFill="1" applyBorder="1" applyAlignment="1">
      <alignment horizontal="justify" vertical="center" wrapText="1"/>
      <protection/>
    </xf>
    <xf numFmtId="0" fontId="33" fillId="0" borderId="27" xfId="1804" applyFont="1" applyFill="1" applyBorder="1" applyAlignment="1">
      <alignment horizontal="justify" vertical="center" wrapText="1"/>
      <protection/>
    </xf>
    <xf numFmtId="0" fontId="0" fillId="0" borderId="27" xfId="0" applyFont="1" applyBorder="1" applyAlignment="1">
      <alignment vertical="center" wrapText="1"/>
    </xf>
    <xf numFmtId="172" fontId="0" fillId="0" borderId="36" xfId="1337" applyNumberFormat="1" applyFill="1" applyBorder="1" applyAlignment="1" applyProtection="1">
      <alignment horizontal="center" vertical="center"/>
      <protection/>
    </xf>
    <xf numFmtId="172" fontId="0" fillId="0" borderId="27" xfId="1337" applyNumberFormat="1" applyFill="1" applyBorder="1" applyAlignment="1" applyProtection="1">
      <alignment horizontal="center" vertical="center"/>
      <protection/>
    </xf>
    <xf numFmtId="172" fontId="0" fillId="0" borderId="35" xfId="1337" applyNumberFormat="1" applyFill="1" applyBorder="1" applyAlignment="1" applyProtection="1">
      <alignment horizontal="center" vertical="center"/>
      <protection/>
    </xf>
    <xf numFmtId="172" fontId="0" fillId="0" borderId="36" xfId="1337" applyNumberFormat="1" applyFill="1" applyBorder="1" applyAlignment="1">
      <alignment horizontal="center" vertical="center" wrapText="1"/>
    </xf>
    <xf numFmtId="172" fontId="0" fillId="0" borderId="27" xfId="1337" applyNumberFormat="1" applyFill="1" applyBorder="1" applyAlignment="1">
      <alignment horizontal="center" vertical="center" wrapText="1"/>
    </xf>
    <xf numFmtId="172" fontId="0" fillId="54" borderId="27" xfId="1337" applyNumberFormat="1" applyFill="1" applyBorder="1" applyAlignment="1">
      <alignment horizontal="center" vertical="center"/>
    </xf>
    <xf numFmtId="172" fontId="0" fillId="54" borderId="35" xfId="1337" applyNumberFormat="1" applyFill="1" applyBorder="1" applyAlignment="1">
      <alignment horizontal="center" vertical="center"/>
    </xf>
    <xf numFmtId="0" fontId="0" fillId="0" borderId="56" xfId="1802" applyFont="1" applyFill="1" applyBorder="1" applyAlignment="1">
      <alignment horizontal="center" vertical="center" wrapText="1"/>
      <protection/>
    </xf>
    <xf numFmtId="165" fontId="0" fillId="0" borderId="27" xfId="1347" applyFont="1" applyBorder="1" applyAlignment="1">
      <alignment/>
    </xf>
    <xf numFmtId="0" fontId="33" fillId="0" borderId="36" xfId="0" applyFont="1" applyFill="1" applyBorder="1" applyAlignment="1">
      <alignment horizontal="center" vertical="center"/>
    </xf>
    <xf numFmtId="165" fontId="0" fillId="0" borderId="36" xfId="1347" applyFont="1" applyBorder="1" applyAlignment="1">
      <alignment/>
    </xf>
    <xf numFmtId="165" fontId="0" fillId="0" borderId="45" xfId="1347" applyFont="1" applyFill="1" applyBorder="1" applyAlignment="1" applyProtection="1">
      <alignment horizontal="center" vertical="center"/>
      <protection/>
    </xf>
    <xf numFmtId="0" fontId="0" fillId="0" borderId="40" xfId="1802" applyFont="1" applyFill="1" applyBorder="1" applyAlignment="1">
      <alignment horizontal="center" vertical="center" wrapText="1"/>
      <protection/>
    </xf>
    <xf numFmtId="165" fontId="0" fillId="0" borderId="41" xfId="1347" applyFont="1" applyFill="1" applyBorder="1" applyAlignment="1" applyProtection="1">
      <alignment horizontal="center" vertical="center"/>
      <protection/>
    </xf>
    <xf numFmtId="0" fontId="0" fillId="0" borderId="57" xfId="1802" applyFont="1" applyFill="1" applyBorder="1" applyAlignment="1">
      <alignment horizontal="center" vertical="center" wrapText="1"/>
      <protection/>
    </xf>
    <xf numFmtId="0" fontId="33" fillId="0" borderId="35" xfId="0" applyFont="1" applyFill="1" applyBorder="1" applyAlignment="1">
      <alignment horizontal="center" vertical="center"/>
    </xf>
    <xf numFmtId="165" fontId="0" fillId="0" borderId="35" xfId="1347" applyFont="1" applyBorder="1" applyAlignment="1">
      <alignment/>
    </xf>
    <xf numFmtId="165" fontId="0" fillId="0" borderId="49" xfId="1347" applyFont="1" applyFill="1" applyBorder="1" applyAlignment="1" applyProtection="1">
      <alignment horizontal="center" vertical="center"/>
      <protection/>
    </xf>
    <xf numFmtId="0" fontId="33" fillId="55" borderId="42" xfId="0" applyFont="1" applyFill="1" applyBorder="1" applyAlignment="1">
      <alignment horizontal="center" vertical="center"/>
    </xf>
    <xf numFmtId="0" fontId="33" fillId="55" borderId="48" xfId="0" applyFont="1" applyFill="1" applyBorder="1" applyAlignment="1">
      <alignment horizontal="center" vertical="center"/>
    </xf>
    <xf numFmtId="0" fontId="0" fillId="0" borderId="36"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4" fontId="0" fillId="0" borderId="36" xfId="1551" applyNumberFormat="1" applyFont="1" applyFill="1" applyBorder="1" applyAlignment="1">
      <alignment horizontal="justify" vertical="center" wrapText="1"/>
      <protection/>
    </xf>
    <xf numFmtId="2" fontId="0" fillId="0" borderId="27" xfId="0" applyNumberFormat="1" applyFont="1" applyFill="1" applyBorder="1" applyAlignment="1">
      <alignment horizontal="center" vertical="center"/>
    </xf>
    <xf numFmtId="172" fontId="0" fillId="0" borderId="27" xfId="0" applyNumberFormat="1" applyFont="1" applyFill="1" applyBorder="1" applyAlignment="1">
      <alignment horizontal="center" vertical="center" wrapText="1"/>
    </xf>
    <xf numFmtId="0" fontId="0" fillId="0" borderId="28" xfId="1551" applyFont="1" applyFill="1" applyBorder="1" applyAlignment="1">
      <alignment horizontal="left" vertical="center" wrapText="1"/>
      <protection/>
    </xf>
    <xf numFmtId="0" fontId="19" fillId="0" borderId="33" xfId="1551" applyFont="1" applyFill="1" applyBorder="1" applyAlignment="1">
      <alignment horizontal="left" vertical="center" wrapText="1"/>
      <protection/>
    </xf>
    <xf numFmtId="0" fontId="33" fillId="0" borderId="36" xfId="0" applyFont="1" applyBorder="1" applyAlignment="1">
      <alignment horizontal="justify" vertical="center"/>
    </xf>
    <xf numFmtId="0" fontId="33" fillId="0" borderId="35" xfId="0" applyFont="1" applyBorder="1" applyAlignment="1">
      <alignment vertical="center"/>
    </xf>
    <xf numFmtId="0" fontId="19" fillId="53" borderId="34" xfId="1551" applyFont="1" applyFill="1" applyBorder="1" applyAlignment="1">
      <alignment horizontal="justify" vertical="center" wrapText="1"/>
      <protection/>
    </xf>
    <xf numFmtId="0" fontId="0" fillId="0" borderId="27" xfId="0" applyFont="1" applyFill="1" applyBorder="1" applyAlignment="1">
      <alignment horizontal="left" vertical="center" wrapText="1"/>
    </xf>
    <xf numFmtId="0" fontId="0" fillId="0" borderId="27" xfId="2361" applyNumberFormat="1" applyFont="1" applyFill="1" applyBorder="1" applyAlignment="1">
      <alignment horizontal="center" vertical="center" wrapText="1"/>
    </xf>
    <xf numFmtId="0" fontId="0" fillId="0" borderId="27" xfId="0" applyFont="1" applyBorder="1" applyAlignment="1">
      <alignment vertical="justify" wrapText="1"/>
    </xf>
    <xf numFmtId="0" fontId="0" fillId="0" borderId="27" xfId="1551" applyFont="1" applyFill="1" applyBorder="1" applyAlignment="1">
      <alignment horizontal="justify" vertical="center" wrapText="1"/>
      <protection/>
    </xf>
    <xf numFmtId="0" fontId="0" fillId="0" borderId="27" xfId="1551" applyNumberFormat="1" applyFont="1" applyBorder="1" applyAlignment="1">
      <alignment horizontal="center" vertical="center"/>
      <protection/>
    </xf>
    <xf numFmtId="0" fontId="0" fillId="0" borderId="27" xfId="0" applyBorder="1" applyAlignment="1">
      <alignment horizontal="center" vertical="center"/>
    </xf>
    <xf numFmtId="0" fontId="0" fillId="0" borderId="27" xfId="0" applyFont="1" applyBorder="1" applyAlignment="1">
      <alignment horizontal="justify" vertical="justify"/>
    </xf>
    <xf numFmtId="2" fontId="0" fillId="0" borderId="27" xfId="1551" applyNumberFormat="1" applyFont="1" applyFill="1" applyBorder="1" applyAlignment="1">
      <alignment horizontal="center" vertical="center"/>
      <protection/>
    </xf>
    <xf numFmtId="0" fontId="0" fillId="0" borderId="28" xfId="0" applyBorder="1" applyAlignment="1">
      <alignment horizontal="center" vertical="center"/>
    </xf>
    <xf numFmtId="169" fontId="0" fillId="0" borderId="28" xfId="0" applyNumberFormat="1" applyBorder="1" applyAlignment="1">
      <alignment horizontal="center" vertical="center"/>
    </xf>
    <xf numFmtId="0" fontId="19" fillId="0" borderId="43" xfId="0" applyFont="1" applyFill="1" applyBorder="1" applyAlignment="1">
      <alignment horizontal="center" vertical="center" wrapText="1"/>
    </xf>
    <xf numFmtId="0" fontId="19" fillId="53" borderId="43" xfId="1551" applyFont="1" applyFill="1" applyBorder="1" applyAlignment="1">
      <alignment horizontal="justify" vertical="center" wrapText="1"/>
      <protection/>
    </xf>
    <xf numFmtId="4" fontId="0" fillId="0" borderId="36" xfId="1551" applyNumberFormat="1" applyFont="1" applyFill="1" applyBorder="1" applyAlignment="1">
      <alignment horizontal="center" vertical="center" wrapText="1"/>
      <protection/>
    </xf>
    <xf numFmtId="169" fontId="0" fillId="0" borderId="27" xfId="1551" applyNumberFormat="1" applyFont="1" applyFill="1" applyBorder="1" applyAlignment="1">
      <alignment horizontal="center" vertical="center" wrapText="1"/>
      <protection/>
    </xf>
    <xf numFmtId="0" fontId="0" fillId="19" borderId="27" xfId="1711" applyFont="1" applyFill="1" applyBorder="1" applyAlignment="1" applyProtection="1">
      <alignment horizontal="justify" vertical="center" wrapText="1"/>
      <protection/>
    </xf>
    <xf numFmtId="0" fontId="0" fillId="0" borderId="27" xfId="0" applyFont="1" applyBorder="1" applyAlignment="1">
      <alignment horizontal="center" vertical="center"/>
    </xf>
    <xf numFmtId="0" fontId="0" fillId="0" borderId="28" xfId="0" applyFont="1" applyBorder="1" applyAlignment="1">
      <alignment vertical="center" wrapText="1"/>
    </xf>
    <xf numFmtId="0" fontId="0" fillId="0" borderId="27" xfId="1711" applyFont="1" applyFill="1" applyBorder="1" applyAlignment="1" applyProtection="1">
      <alignment horizontal="justify" vertical="center" wrapText="1"/>
      <protection/>
    </xf>
    <xf numFmtId="4" fontId="0" fillId="0" borderId="27" xfId="1711" applyNumberFormat="1" applyFont="1" applyFill="1" applyBorder="1" applyAlignment="1">
      <alignment horizontal="center" vertical="center" wrapText="1"/>
      <protection/>
    </xf>
    <xf numFmtId="0" fontId="0" fillId="0" borderId="27" xfId="1710" applyFont="1" applyFill="1" applyBorder="1" applyAlignment="1" applyProtection="1">
      <alignment horizontal="center" vertical="center" wrapText="1"/>
      <protection/>
    </xf>
    <xf numFmtId="169" fontId="0" fillId="0" borderId="27" xfId="1711" applyNumberFormat="1" applyFont="1" applyFill="1" applyBorder="1" applyAlignment="1" applyProtection="1">
      <alignment horizontal="center" vertical="center" wrapText="1"/>
      <protection/>
    </xf>
    <xf numFmtId="0" fontId="0" fillId="0" borderId="38" xfId="0" applyFont="1" applyFill="1" applyBorder="1" applyAlignment="1">
      <alignment horizontal="center" vertical="center" wrapText="1"/>
    </xf>
    <xf numFmtId="0" fontId="0" fillId="0" borderId="27" xfId="1711" applyFont="1" applyFill="1" applyBorder="1" applyAlignment="1" applyProtection="1">
      <alignment horizontal="center" vertical="center" wrapText="1"/>
      <protection/>
    </xf>
    <xf numFmtId="0" fontId="0" fillId="0" borderId="31" xfId="0" applyFont="1" applyBorder="1" applyAlignment="1">
      <alignment vertical="center" wrapText="1"/>
    </xf>
    <xf numFmtId="169" fontId="0" fillId="0" borderId="27" xfId="0" applyNumberFormat="1" applyBorder="1" applyAlignment="1">
      <alignment horizontal="center" vertical="center"/>
    </xf>
    <xf numFmtId="44" fontId="0" fillId="0" borderId="27" xfId="1403" applyNumberFormat="1" applyFont="1" applyFill="1" applyBorder="1" applyAlignment="1">
      <alignment horizontal="center" vertical="center"/>
    </xf>
    <xf numFmtId="0" fontId="0" fillId="0" borderId="36" xfId="1551" applyFont="1" applyFill="1" applyBorder="1" applyAlignment="1">
      <alignment horizontal="justify" vertical="center" wrapText="1"/>
      <protection/>
    </xf>
    <xf numFmtId="172" fontId="0" fillId="0" borderId="27" xfId="0" applyNumberFormat="1" applyFont="1" applyFill="1" applyBorder="1" applyAlignment="1" applyProtection="1">
      <alignment horizontal="center" vertical="center"/>
      <protection/>
    </xf>
    <xf numFmtId="0" fontId="0" fillId="0" borderId="27" xfId="0" applyFont="1" applyBorder="1" applyAlignment="1">
      <alignment vertical="justify"/>
    </xf>
    <xf numFmtId="0" fontId="0" fillId="0" borderId="27" xfId="0" applyBorder="1" applyAlignment="1">
      <alignment horizontal="right"/>
    </xf>
    <xf numFmtId="0" fontId="27" fillId="0" borderId="27" xfId="1710" applyFont="1" applyBorder="1" applyAlignment="1">
      <alignment horizontal="center"/>
      <protection/>
    </xf>
    <xf numFmtId="4" fontId="0" fillId="19" borderId="27" xfId="1711" applyNumberFormat="1" applyFont="1" applyFill="1" applyBorder="1" applyAlignment="1">
      <alignment horizontal="center" vertical="center" wrapText="1"/>
      <protection/>
    </xf>
    <xf numFmtId="169" fontId="0" fillId="19" borderId="44" xfId="1711" applyNumberFormat="1" applyFont="1" applyFill="1" applyBorder="1" applyAlignment="1" applyProtection="1">
      <alignment horizontal="center" vertical="center" wrapText="1"/>
      <protection/>
    </xf>
    <xf numFmtId="165" fontId="0" fillId="0" borderId="27" xfId="1801" applyNumberFormat="1" applyBorder="1">
      <alignment/>
      <protection/>
    </xf>
    <xf numFmtId="4" fontId="0" fillId="0" borderId="27" xfId="1711" applyNumberFormat="1" applyFont="1" applyFill="1" applyBorder="1" applyAlignment="1">
      <alignment horizontal="center" vertical="center" wrapText="1"/>
      <protection/>
    </xf>
    <xf numFmtId="164" fontId="0" fillId="0" borderId="27" xfId="1551" applyNumberFormat="1" applyFont="1" applyFill="1" applyBorder="1" applyAlignment="1">
      <alignment horizontal="center" vertical="center"/>
      <protection/>
    </xf>
    <xf numFmtId="0" fontId="0" fillId="0" borderId="28" xfId="1801" applyFont="1" applyBorder="1" applyAlignment="1">
      <alignment horizontal="center" vertical="center"/>
      <protection/>
    </xf>
    <xf numFmtId="165" fontId="0" fillId="0" borderId="27" xfId="1347" applyFont="1" applyBorder="1" applyAlignment="1">
      <alignment horizontal="center" vertical="center"/>
    </xf>
    <xf numFmtId="0" fontId="0" fillId="0" borderId="27" xfId="1711" applyNumberFormat="1" applyFont="1" applyFill="1" applyBorder="1" applyAlignment="1">
      <alignment horizontal="center" vertical="center"/>
      <protection/>
    </xf>
    <xf numFmtId="0" fontId="0" fillId="0" borderId="35" xfId="0" applyFont="1" applyFill="1" applyBorder="1" applyAlignment="1">
      <alignment horizontal="justify" vertical="center" wrapText="1"/>
    </xf>
    <xf numFmtId="2" fontId="0" fillId="0" borderId="27" xfId="1711" applyNumberFormat="1" applyFont="1" applyFill="1" applyBorder="1" applyAlignment="1">
      <alignment horizontal="center" vertical="center" wrapText="1"/>
      <protection/>
    </xf>
    <xf numFmtId="0" fontId="0" fillId="0" borderId="58" xfId="1711" applyNumberFormat="1" applyFont="1" applyFill="1" applyBorder="1" applyAlignment="1">
      <alignment horizontal="center" vertical="center"/>
      <protection/>
    </xf>
    <xf numFmtId="165" fontId="0" fillId="0" borderId="27" xfId="1347" applyFont="1" applyFill="1" applyBorder="1" applyAlignment="1" applyProtection="1">
      <alignment horizontal="center" vertical="center"/>
      <protection/>
    </xf>
    <xf numFmtId="2" fontId="0" fillId="0" borderId="36" xfId="0" applyNumberFormat="1" applyFont="1" applyFill="1" applyBorder="1" applyAlignment="1">
      <alignment horizontal="center" vertical="center"/>
    </xf>
    <xf numFmtId="172" fontId="0" fillId="0" borderId="36" xfId="0" applyNumberFormat="1" applyFont="1" applyFill="1" applyBorder="1" applyAlignment="1">
      <alignment horizontal="center" vertical="center"/>
    </xf>
    <xf numFmtId="0" fontId="0" fillId="0" borderId="36" xfId="0" applyFont="1" applyFill="1" applyBorder="1" applyAlignment="1">
      <alignment horizontal="justify" vertical="center" wrapText="1"/>
    </xf>
    <xf numFmtId="0" fontId="0" fillId="19" borderId="31" xfId="1711" applyFont="1" applyFill="1" applyBorder="1" applyAlignment="1" applyProtection="1">
      <alignment horizontal="center" vertical="center" wrapText="1"/>
      <protection/>
    </xf>
    <xf numFmtId="4" fontId="0" fillId="19" borderId="31" xfId="1711" applyNumberFormat="1" applyFont="1" applyFill="1" applyBorder="1" applyAlignment="1">
      <alignment horizontal="justify" vertical="center" wrapText="1"/>
      <protection/>
    </xf>
    <xf numFmtId="0" fontId="0" fillId="19" borderId="31" xfId="1711" applyFont="1" applyFill="1" applyBorder="1" applyAlignment="1" applyProtection="1">
      <alignment horizontal="center" vertical="center" wrapText="1"/>
      <protection/>
    </xf>
    <xf numFmtId="4" fontId="0" fillId="19" borderId="31" xfId="1711" applyNumberFormat="1" applyFont="1" applyFill="1" applyBorder="1" applyAlignment="1">
      <alignment horizontal="center" vertical="center" wrapText="1"/>
      <protection/>
    </xf>
    <xf numFmtId="169" fontId="0" fillId="19" borderId="31" xfId="1711" applyNumberFormat="1" applyFont="1" applyFill="1" applyBorder="1" applyAlignment="1" applyProtection="1">
      <alignment horizontal="center" vertical="center" wrapText="1"/>
      <protection/>
    </xf>
    <xf numFmtId="164" fontId="0" fillId="19" borderId="31" xfId="1551" applyNumberFormat="1" applyFont="1" applyFill="1" applyBorder="1" applyAlignment="1">
      <alignment horizontal="center" vertical="center"/>
      <protection/>
    </xf>
    <xf numFmtId="0" fontId="0" fillId="0" borderId="27" xfId="1802" applyFont="1" applyFill="1" applyBorder="1" applyAlignment="1">
      <alignment horizontal="center" vertical="center" wrapText="1"/>
      <protection/>
    </xf>
    <xf numFmtId="2" fontId="0" fillId="0" borderId="27" xfId="1551" applyNumberFormat="1" applyFont="1" applyFill="1" applyBorder="1" applyAlignment="1">
      <alignment horizontal="center" vertical="center" wrapText="1"/>
      <protection/>
    </xf>
    <xf numFmtId="0" fontId="0" fillId="0" borderId="27" xfId="0" applyFill="1" applyBorder="1" applyAlignment="1">
      <alignment horizontal="center" vertical="center"/>
    </xf>
    <xf numFmtId="4" fontId="33" fillId="0" borderId="36" xfId="2361" applyNumberFormat="1" applyFont="1" applyFill="1" applyBorder="1" applyAlignment="1">
      <alignment horizontal="center" vertical="center" wrapText="1"/>
    </xf>
    <xf numFmtId="4" fontId="33" fillId="0" borderId="35" xfId="2361" applyNumberFormat="1" applyFont="1" applyFill="1" applyBorder="1" applyAlignment="1">
      <alignment horizontal="center" vertical="center" wrapText="1"/>
    </xf>
    <xf numFmtId="0" fontId="0" fillId="0" borderId="27" xfId="1711" applyFont="1" applyFill="1" applyBorder="1" applyAlignment="1">
      <alignment horizontal="center" vertical="center"/>
      <protection/>
    </xf>
    <xf numFmtId="0" fontId="0" fillId="0" borderId="27" xfId="0" applyFont="1" applyFill="1" applyBorder="1" applyAlignment="1">
      <alignment vertical="justify" wrapText="1"/>
    </xf>
    <xf numFmtId="44" fontId="0" fillId="0" borderId="28" xfId="1403" applyNumberFormat="1" applyFont="1" applyFill="1" applyBorder="1" applyAlignment="1">
      <alignment horizontal="center" vertical="center"/>
    </xf>
    <xf numFmtId="172" fontId="0" fillId="0" borderId="42" xfId="1403" applyNumberFormat="1" applyFont="1" applyFill="1" applyBorder="1" applyAlignment="1">
      <alignment horizontal="center" vertical="center"/>
    </xf>
    <xf numFmtId="173" fontId="0" fillId="0" borderId="37" xfId="1901" applyNumberFormat="1" applyFont="1" applyFill="1" applyBorder="1" applyAlignment="1">
      <alignment horizontal="center" vertical="center"/>
    </xf>
    <xf numFmtId="172" fontId="0" fillId="0" borderId="26" xfId="1403" applyNumberFormat="1" applyFont="1" applyFill="1" applyBorder="1" applyAlignment="1">
      <alignment horizontal="center" vertical="center"/>
    </xf>
    <xf numFmtId="4" fontId="0" fillId="0" borderId="27" xfId="1551" applyNumberFormat="1" applyFont="1" applyFill="1" applyBorder="1" applyAlignment="1">
      <alignment horizontal="center" vertical="center" wrapText="1"/>
      <protection/>
    </xf>
    <xf numFmtId="4" fontId="0" fillId="0" borderId="56" xfId="1551" applyNumberFormat="1" applyFont="1" applyFill="1" applyBorder="1" applyAlignment="1">
      <alignment horizontal="center" vertical="center" wrapText="1"/>
      <protection/>
    </xf>
    <xf numFmtId="4" fontId="0" fillId="0" borderId="40" xfId="1551" applyNumberFormat="1" applyFont="1" applyFill="1" applyBorder="1" applyAlignment="1">
      <alignment horizontal="center" vertical="center" wrapText="1"/>
      <protection/>
    </xf>
    <xf numFmtId="0" fontId="0" fillId="0" borderId="40" xfId="0" applyFont="1" applyFill="1" applyBorder="1" applyAlignment="1">
      <alignment horizontal="center" vertical="center" wrapText="1"/>
    </xf>
    <xf numFmtId="0" fontId="0" fillId="0" borderId="56" xfId="0" applyFont="1" applyFill="1" applyBorder="1" applyAlignment="1">
      <alignment horizontal="center" vertical="center" wrapText="1"/>
    </xf>
    <xf numFmtId="2" fontId="0" fillId="0" borderId="0" xfId="0" applyNumberFormat="1" applyAlignment="1">
      <alignment/>
    </xf>
    <xf numFmtId="165" fontId="0" fillId="0" borderId="28" xfId="1347" applyFont="1" applyBorder="1" applyAlignment="1">
      <alignment vertical="center"/>
    </xf>
    <xf numFmtId="4" fontId="0" fillId="0" borderId="57" xfId="1551" applyNumberFormat="1" applyFont="1" applyFill="1" applyBorder="1" applyAlignment="1">
      <alignment horizontal="center" vertical="center" wrapText="1"/>
      <protection/>
    </xf>
    <xf numFmtId="0" fontId="43" fillId="0" borderId="27" xfId="0" applyFont="1" applyBorder="1" applyAlignment="1">
      <alignment horizontal="justify" vertical="center" wrapText="1"/>
    </xf>
    <xf numFmtId="169" fontId="0" fillId="55" borderId="42" xfId="1551" applyNumberFormat="1" applyFont="1" applyFill="1" applyBorder="1" applyAlignment="1">
      <alignment horizontal="center" vertical="center" wrapText="1"/>
      <protection/>
    </xf>
    <xf numFmtId="0" fontId="0" fillId="0" borderId="27" xfId="0" applyFont="1" applyFill="1" applyBorder="1" applyAlignment="1">
      <alignment horizontal="center" vertical="center" wrapText="1"/>
    </xf>
    <xf numFmtId="0" fontId="0" fillId="0" borderId="40" xfId="1711" applyFont="1" applyFill="1" applyBorder="1" applyAlignment="1">
      <alignment horizontal="center" vertical="center" wrapText="1"/>
      <protection/>
    </xf>
    <xf numFmtId="0" fontId="0" fillId="0" borderId="56" xfId="1711" applyFont="1" applyFill="1" applyBorder="1" applyAlignment="1">
      <alignment horizontal="center" vertical="center" wrapText="1"/>
      <protection/>
    </xf>
    <xf numFmtId="0" fontId="0" fillId="53" borderId="27" xfId="1551" applyFont="1" applyFill="1" applyBorder="1" applyAlignment="1">
      <alignment horizontal="left" vertical="center" wrapText="1"/>
      <protection/>
    </xf>
    <xf numFmtId="172" fontId="0" fillId="0" borderId="35" xfId="1431" applyNumberFormat="1" applyFont="1" applyFill="1" applyBorder="1" applyAlignment="1" applyProtection="1">
      <alignment horizontal="center" vertical="center" wrapText="1"/>
      <protection/>
    </xf>
    <xf numFmtId="0" fontId="19" fillId="53" borderId="0" xfId="1551" applyFont="1" applyFill="1" applyBorder="1" applyAlignment="1">
      <alignment horizontal="justify" vertical="center" wrapText="1"/>
      <protection/>
    </xf>
    <xf numFmtId="0" fontId="0" fillId="54" borderId="27" xfId="1806" applyFont="1" applyFill="1" applyBorder="1" applyAlignment="1">
      <alignment horizontal="justify" vertical="center" wrapText="1"/>
      <protection/>
    </xf>
    <xf numFmtId="0" fontId="0" fillId="0" borderId="36" xfId="1551" applyFont="1" applyFill="1" applyBorder="1" applyAlignment="1">
      <alignment horizontal="justify" vertical="center" wrapText="1"/>
      <protection/>
    </xf>
    <xf numFmtId="0" fontId="0" fillId="0" borderId="35" xfId="0" applyFont="1" applyBorder="1" applyAlignment="1">
      <alignment horizontal="justify" vertical="center" wrapText="1"/>
    </xf>
    <xf numFmtId="0" fontId="0" fillId="0" borderId="35" xfId="1551" applyFont="1" applyFill="1" applyBorder="1" applyAlignment="1">
      <alignment horizontal="justify" vertical="center" wrapText="1"/>
      <protection/>
    </xf>
    <xf numFmtId="0" fontId="33" fillId="53" borderId="27" xfId="1551" applyFont="1" applyFill="1" applyBorder="1" applyAlignment="1">
      <alignment horizontal="justify" vertical="center" wrapText="1"/>
      <protection/>
    </xf>
    <xf numFmtId="0" fontId="33" fillId="53" borderId="36" xfId="1551" applyFont="1" applyFill="1" applyBorder="1" applyAlignment="1">
      <alignment horizontal="justify" vertical="center" wrapText="1"/>
      <protection/>
    </xf>
    <xf numFmtId="0" fontId="19" fillId="56" borderId="33" xfId="1710" applyFont="1" applyFill="1" applyBorder="1" applyAlignment="1" applyProtection="1">
      <alignment horizontal="center" vertical="center" wrapText="1"/>
      <protection/>
    </xf>
    <xf numFmtId="0" fontId="19" fillId="56" borderId="47" xfId="1710" applyFont="1" applyFill="1" applyBorder="1" applyAlignment="1" applyProtection="1">
      <alignment horizontal="center" vertical="center" wrapText="1"/>
      <protection/>
    </xf>
    <xf numFmtId="0" fontId="0" fillId="56" borderId="27" xfId="0" applyFont="1" applyFill="1" applyBorder="1" applyAlignment="1">
      <alignment horizontal="justify" vertical="center" wrapText="1"/>
    </xf>
    <xf numFmtId="0" fontId="0" fillId="56" borderId="27" xfId="0" applyFont="1" applyFill="1" applyBorder="1" applyAlignment="1">
      <alignment horizontal="left" vertical="center" wrapText="1"/>
    </xf>
    <xf numFmtId="175" fontId="0" fillId="29" borderId="42" xfId="0" applyNumberFormat="1" applyFont="1" applyFill="1" applyBorder="1" applyAlignment="1">
      <alignment vertical="center"/>
    </xf>
    <xf numFmtId="175" fontId="0" fillId="29" borderId="43" xfId="0" applyNumberFormat="1" applyFont="1" applyFill="1" applyBorder="1" applyAlignment="1">
      <alignment vertical="center"/>
    </xf>
    <xf numFmtId="0" fontId="8" fillId="0" borderId="0" xfId="0" applyFont="1" applyAlignment="1">
      <alignment horizontal="left"/>
    </xf>
    <xf numFmtId="0" fontId="0" fillId="0" borderId="27" xfId="0" applyBorder="1" applyAlignment="1">
      <alignment horizontal="center"/>
    </xf>
    <xf numFmtId="167" fontId="0" fillId="53" borderId="27" xfId="2076" applyNumberFormat="1" applyFont="1" applyFill="1" applyBorder="1" applyAlignment="1" applyProtection="1">
      <alignment horizontal="center" vertical="center"/>
      <protection/>
    </xf>
    <xf numFmtId="166" fontId="0" fillId="0" borderId="28" xfId="846" applyNumberFormat="1" applyFont="1" applyFill="1" applyBorder="1" applyAlignment="1">
      <alignment horizontal="center" vertical="center"/>
    </xf>
    <xf numFmtId="169" fontId="0" fillId="0" borderId="27" xfId="1803" applyNumberFormat="1" applyFont="1" applyFill="1" applyBorder="1" applyAlignment="1">
      <alignment horizontal="right" vertical="center" wrapText="1"/>
      <protection/>
    </xf>
    <xf numFmtId="164" fontId="0" fillId="0" borderId="27" xfId="1403" applyNumberFormat="1" applyBorder="1" applyAlignment="1">
      <alignment vertical="center"/>
    </xf>
    <xf numFmtId="0" fontId="0" fillId="0" borderId="27" xfId="0" applyFill="1" applyBorder="1" applyAlignment="1">
      <alignment horizontal="left" vertical="center" wrapText="1"/>
    </xf>
    <xf numFmtId="165" fontId="33" fillId="0" borderId="27" xfId="1382" applyFont="1" applyFill="1" applyBorder="1" applyAlignment="1">
      <alignment horizontal="right" vertical="center" wrapText="1"/>
    </xf>
    <xf numFmtId="0" fontId="0" fillId="0" borderId="28" xfId="1711" applyFont="1" applyFill="1" applyBorder="1" applyAlignment="1">
      <alignment horizontal="center"/>
      <protection/>
    </xf>
    <xf numFmtId="0" fontId="0" fillId="55" borderId="43" xfId="1551" applyFont="1" applyFill="1" applyBorder="1" applyAlignment="1">
      <alignment horizontal="center" vertical="center" wrapText="1"/>
      <protection/>
    </xf>
    <xf numFmtId="169" fontId="0" fillId="0" borderId="0" xfId="0" applyNumberFormat="1" applyAlignment="1">
      <alignment/>
    </xf>
    <xf numFmtId="0" fontId="0" fillId="55" borderId="34" xfId="1551" applyFont="1" applyFill="1" applyBorder="1" applyAlignment="1">
      <alignment horizontal="center" vertical="center" wrapText="1"/>
      <protection/>
    </xf>
    <xf numFmtId="0" fontId="33" fillId="0" borderId="27" xfId="0" applyFont="1" applyFill="1" applyBorder="1" applyAlignment="1">
      <alignment horizontal="justify" vertical="center" wrapText="1"/>
    </xf>
    <xf numFmtId="0" fontId="0" fillId="55" borderId="42" xfId="1802" applyFont="1" applyFill="1" applyBorder="1" applyAlignment="1">
      <alignment horizontal="center" vertical="center" wrapText="1"/>
      <protection/>
    </xf>
    <xf numFmtId="0" fontId="33" fillId="0" borderId="27" xfId="0" applyFont="1" applyBorder="1" applyAlignment="1">
      <alignment horizontal="justify" vertical="center"/>
    </xf>
    <xf numFmtId="4" fontId="0" fillId="0" borderId="27" xfId="0" applyNumberFormat="1" applyFont="1" applyFill="1" applyBorder="1" applyAlignment="1">
      <alignment horizontal="center" vertical="center"/>
    </xf>
    <xf numFmtId="168" fontId="0" fillId="0" borderId="27" xfId="1403" applyFont="1" applyFill="1" applyBorder="1" applyAlignment="1">
      <alignment horizontal="center" vertical="center"/>
    </xf>
    <xf numFmtId="168" fontId="0" fillId="0" borderId="27" xfId="1403" applyFont="1" applyFill="1" applyBorder="1" applyAlignment="1" applyProtection="1">
      <alignment horizontal="center" vertical="center"/>
      <protection/>
    </xf>
    <xf numFmtId="0" fontId="71" fillId="0" borderId="27" xfId="1711" applyFont="1" applyFill="1" applyBorder="1" applyAlignment="1">
      <alignment horizontal="center" vertical="center"/>
      <protection/>
    </xf>
    <xf numFmtId="168" fontId="0" fillId="0" borderId="27" xfId="1403" applyFont="1" applyFill="1" applyBorder="1" applyAlignment="1">
      <alignment horizontal="center" vertical="center"/>
    </xf>
    <xf numFmtId="0" fontId="0" fillId="0" borderId="27" xfId="0" applyBorder="1" applyAlignment="1">
      <alignment/>
    </xf>
    <xf numFmtId="0" fontId="0" fillId="0" borderId="27" xfId="0" applyFill="1" applyBorder="1" applyAlignment="1">
      <alignment horizontal="right"/>
    </xf>
    <xf numFmtId="168" fontId="0" fillId="0" borderId="27" xfId="0" applyNumberFormat="1" applyBorder="1" applyAlignment="1">
      <alignment horizontal="right"/>
    </xf>
    <xf numFmtId="0" fontId="0" fillId="0" borderId="27" xfId="0" applyFont="1" applyBorder="1" applyAlignment="1">
      <alignment horizontal="justify" vertical="center"/>
    </xf>
    <xf numFmtId="0" fontId="8" fillId="0" borderId="0" xfId="0" applyFont="1" applyAlignment="1">
      <alignment horizontal="left"/>
    </xf>
    <xf numFmtId="2" fontId="0" fillId="0" borderId="27" xfId="846" applyNumberFormat="1" applyFont="1" applyFill="1" applyBorder="1" applyAlignment="1">
      <alignment horizontal="center" vertical="center"/>
    </xf>
    <xf numFmtId="0" fontId="0" fillId="0" borderId="27" xfId="0" applyFont="1" applyFill="1" applyBorder="1" applyAlignment="1">
      <alignment horizontal="justify" vertical="center"/>
    </xf>
    <xf numFmtId="0" fontId="0" fillId="19" borderId="27" xfId="1711" applyFont="1" applyFill="1" applyBorder="1" applyAlignment="1" applyProtection="1">
      <alignment horizontal="justify" vertical="center"/>
      <protection/>
    </xf>
    <xf numFmtId="2" fontId="0" fillId="0" borderId="27" xfId="2019" applyNumberFormat="1" applyFont="1" applyFill="1" applyBorder="1" applyAlignment="1">
      <alignment horizontal="center" vertical="center"/>
    </xf>
    <xf numFmtId="0" fontId="0" fillId="0" borderId="27" xfId="1711" applyFont="1" applyBorder="1" applyAlignment="1">
      <alignment horizontal="center"/>
      <protection/>
    </xf>
    <xf numFmtId="12" fontId="0" fillId="0" borderId="27" xfId="0" applyNumberFormat="1" applyFont="1" applyBorder="1" applyAlignment="1">
      <alignment horizontal="justify" vertical="center" wrapText="1"/>
    </xf>
    <xf numFmtId="0" fontId="0" fillId="55" borderId="43" xfId="1551" applyNumberFormat="1" applyFont="1" applyFill="1" applyBorder="1" applyAlignment="1">
      <alignment horizontal="center" vertical="center" wrapText="1"/>
      <protection/>
    </xf>
    <xf numFmtId="0" fontId="0" fillId="0" borderId="27" xfId="0" applyFont="1" applyFill="1" applyBorder="1" applyAlignment="1">
      <alignment vertical="center" wrapText="1"/>
    </xf>
    <xf numFmtId="0" fontId="0" fillId="57" borderId="42" xfId="1802" applyFont="1" applyFill="1" applyBorder="1" applyAlignment="1">
      <alignment horizontal="center" vertical="center" wrapText="1"/>
      <protection/>
    </xf>
    <xf numFmtId="0" fontId="33" fillId="0" borderId="27" xfId="0" applyFont="1" applyBorder="1" applyAlignment="1">
      <alignment horizontal="justify" vertical="center" wrapText="1"/>
    </xf>
    <xf numFmtId="0" fontId="33" fillId="57" borderId="33" xfId="0" applyFont="1" applyFill="1" applyBorder="1" applyAlignment="1">
      <alignment horizontal="center" vertical="center"/>
    </xf>
    <xf numFmtId="0" fontId="0" fillId="0" borderId="27" xfId="1551" applyNumberFormat="1" applyFont="1" applyFill="1" applyBorder="1" applyAlignment="1">
      <alignment horizontal="center" vertical="center" wrapText="1"/>
      <protection/>
    </xf>
    <xf numFmtId="4" fontId="0" fillId="0" borderId="59" xfId="1551" applyNumberFormat="1" applyFont="1" applyFill="1" applyBorder="1" applyAlignment="1">
      <alignment horizontal="center" vertical="center" wrapText="1"/>
      <protection/>
    </xf>
    <xf numFmtId="0" fontId="33" fillId="0" borderId="31" xfId="0" applyFont="1" applyBorder="1" applyAlignment="1">
      <alignment horizontal="center" vertical="center"/>
    </xf>
    <xf numFmtId="2" fontId="33" fillId="0" borderId="31" xfId="0" applyNumberFormat="1" applyFont="1" applyBorder="1" applyAlignment="1">
      <alignment horizontal="center" vertical="center"/>
    </xf>
    <xf numFmtId="169" fontId="0" fillId="0" borderId="31" xfId="1551" applyNumberFormat="1" applyFont="1" applyFill="1" applyBorder="1" applyAlignment="1">
      <alignment horizontal="center" vertical="center" wrapText="1"/>
      <protection/>
    </xf>
    <xf numFmtId="169" fontId="0" fillId="0" borderId="50" xfId="1551" applyNumberFormat="1" applyFont="1" applyFill="1" applyBorder="1" applyAlignment="1">
      <alignment horizontal="center" vertical="center" wrapText="1"/>
      <protection/>
    </xf>
    <xf numFmtId="0" fontId="0" fillId="57" borderId="48" xfId="1802" applyFont="1" applyFill="1" applyBorder="1" applyAlignment="1">
      <alignment horizontal="center" vertical="center" wrapText="1"/>
      <protection/>
    </xf>
    <xf numFmtId="0" fontId="0" fillId="0" borderId="0" xfId="0" applyFont="1" applyFill="1" applyBorder="1" applyAlignment="1">
      <alignment horizontal="justify" vertical="center" wrapText="1"/>
    </xf>
    <xf numFmtId="0" fontId="33" fillId="0" borderId="27" xfId="0" applyFont="1" applyFill="1" applyBorder="1" applyAlignment="1">
      <alignment horizontal="justify" vertical="center"/>
    </xf>
    <xf numFmtId="0" fontId="33" fillId="0" borderId="27" xfId="0" applyFont="1" applyFill="1" applyBorder="1" applyAlignment="1">
      <alignment horizontal="justify" vertical="center" wrapText="1"/>
    </xf>
    <xf numFmtId="0" fontId="33" fillId="0" borderId="27" xfId="0" applyFont="1" applyFill="1" applyBorder="1" applyAlignment="1">
      <alignment horizontal="justify" vertical="center"/>
    </xf>
    <xf numFmtId="2" fontId="33" fillId="0" borderId="36" xfId="0" applyNumberFormat="1" applyFont="1" applyFill="1" applyBorder="1" applyAlignment="1">
      <alignment horizontal="center" vertical="center"/>
    </xf>
    <xf numFmtId="171" fontId="33" fillId="0" borderId="36" xfId="0" applyNumberFormat="1" applyFont="1" applyFill="1" applyBorder="1" applyAlignment="1">
      <alignment horizontal="center" vertical="center"/>
    </xf>
    <xf numFmtId="171" fontId="33" fillId="0" borderId="35" xfId="0" applyNumberFormat="1" applyFont="1" applyFill="1" applyBorder="1" applyAlignment="1">
      <alignment horizontal="center" vertical="center"/>
    </xf>
    <xf numFmtId="0" fontId="0" fillId="55" borderId="42" xfId="1490" applyFont="1" applyFill="1" applyBorder="1" applyAlignment="1">
      <alignment horizontal="center" vertical="center" wrapText="1"/>
      <protection/>
    </xf>
    <xf numFmtId="172" fontId="0" fillId="0" borderId="60" xfId="2361" applyNumberFormat="1" applyFont="1" applyFill="1" applyBorder="1" applyAlignment="1">
      <alignment horizontal="center" vertical="center" wrapText="1"/>
    </xf>
    <xf numFmtId="0" fontId="19" fillId="0" borderId="32" xfId="0" applyFont="1" applyFill="1" applyBorder="1" applyAlignment="1">
      <alignment vertical="center" wrapText="1"/>
    </xf>
    <xf numFmtId="0" fontId="0" fillId="0" borderId="59" xfId="0" applyFont="1" applyFill="1" applyBorder="1" applyAlignment="1">
      <alignment horizontal="center" vertical="center" wrapText="1"/>
    </xf>
    <xf numFmtId="4" fontId="0" fillId="0" borderId="31" xfId="1551" applyNumberFormat="1" applyFont="1" applyFill="1" applyBorder="1" applyAlignment="1">
      <alignment horizontal="justify" vertical="center" wrapText="1"/>
      <protection/>
    </xf>
    <xf numFmtId="4" fontId="0" fillId="0" borderId="31" xfId="1551" applyNumberFormat="1" applyFont="1" applyFill="1" applyBorder="1" applyAlignment="1">
      <alignment horizontal="center" vertical="center" wrapText="1"/>
      <protection/>
    </xf>
    <xf numFmtId="2" fontId="0" fillId="0" borderId="27" xfId="1551" applyNumberFormat="1" applyFont="1" applyBorder="1" applyAlignment="1">
      <alignment horizontal="center" vertical="center"/>
      <protection/>
    </xf>
    <xf numFmtId="0" fontId="71" fillId="0" borderId="0" xfId="0" applyFont="1" applyFill="1" applyBorder="1" applyAlignment="1">
      <alignment horizontal="center" vertical="center"/>
    </xf>
    <xf numFmtId="169" fontId="0" fillId="0" borderId="0" xfId="1551" applyNumberFormat="1" applyFont="1" applyFill="1" applyBorder="1" applyAlignment="1">
      <alignment horizontal="center" vertical="center" wrapText="1"/>
      <protection/>
    </xf>
    <xf numFmtId="0" fontId="0" fillId="0" borderId="31" xfId="0" applyFont="1" applyFill="1" applyBorder="1" applyAlignment="1">
      <alignment horizontal="justify" vertical="center" wrapText="1"/>
    </xf>
    <xf numFmtId="2" fontId="0" fillId="0" borderId="31" xfId="0" applyNumberFormat="1" applyFont="1" applyFill="1" applyBorder="1" applyAlignment="1">
      <alignment horizontal="center" vertical="center"/>
    </xf>
    <xf numFmtId="2" fontId="33" fillId="0" borderId="31" xfId="0" applyNumberFormat="1" applyFont="1" applyFill="1" applyBorder="1" applyAlignment="1">
      <alignment horizontal="center" vertical="center"/>
    </xf>
    <xf numFmtId="172" fontId="0" fillId="0" borderId="50" xfId="2361" applyNumberFormat="1" applyFont="1" applyFill="1" applyBorder="1" applyAlignment="1">
      <alignment horizontal="center" vertical="center" wrapText="1"/>
    </xf>
    <xf numFmtId="0" fontId="0" fillId="0" borderId="35" xfId="1551" applyFont="1" applyFill="1" applyBorder="1" applyAlignment="1">
      <alignment horizontal="justify" vertical="center" wrapText="1"/>
      <protection/>
    </xf>
    <xf numFmtId="172" fontId="0" fillId="0" borderId="31" xfId="2361" applyNumberFormat="1" applyFont="1" applyFill="1" applyBorder="1" applyAlignment="1">
      <alignment horizontal="center" vertical="center" wrapText="1"/>
    </xf>
    <xf numFmtId="167" fontId="33" fillId="53" borderId="27" xfId="2082" applyNumberFormat="1" applyFont="1" applyFill="1" applyBorder="1" applyAlignment="1" applyProtection="1">
      <alignment horizontal="center" vertical="center"/>
      <protection/>
    </xf>
    <xf numFmtId="0" fontId="0" fillId="0" borderId="28" xfId="0" applyFont="1" applyBorder="1" applyAlignment="1">
      <alignment horizontal="justify" vertical="justify"/>
    </xf>
    <xf numFmtId="165" fontId="33" fillId="0" borderId="28" xfId="1382" applyFont="1" applyFill="1" applyBorder="1" applyAlignment="1">
      <alignment horizontal="right" vertical="center" wrapText="1"/>
    </xf>
    <xf numFmtId="169" fontId="0" fillId="0" borderId="28" xfId="1803" applyNumberFormat="1" applyFont="1" applyFill="1" applyBorder="1" applyAlignment="1">
      <alignment horizontal="center" vertical="center" wrapText="1"/>
      <protection/>
    </xf>
    <xf numFmtId="164" fontId="0" fillId="0" borderId="28" xfId="1403" applyNumberFormat="1" applyBorder="1" applyAlignment="1">
      <alignment vertical="center"/>
    </xf>
    <xf numFmtId="167" fontId="0" fillId="0" borderId="27" xfId="2076" applyNumberFormat="1" applyFont="1" applyFill="1" applyBorder="1" applyAlignment="1" applyProtection="1">
      <alignment horizontal="center" vertical="center"/>
      <protection/>
    </xf>
    <xf numFmtId="164" fontId="0" fillId="0" borderId="27" xfId="1403" applyNumberFormat="1" applyFill="1" applyBorder="1" applyAlignment="1">
      <alignment vertical="center"/>
    </xf>
    <xf numFmtId="4" fontId="0" fillId="0" borderId="27" xfId="1551" applyNumberFormat="1" applyFont="1" applyFill="1" applyBorder="1" applyAlignment="1">
      <alignment horizontal="center" vertical="center"/>
      <protection/>
    </xf>
    <xf numFmtId="172" fontId="0" fillId="0" borderId="31" xfId="0" applyNumberFormat="1" applyFont="1" applyFill="1" applyBorder="1" applyAlignment="1">
      <alignment horizontal="center" vertical="center"/>
    </xf>
    <xf numFmtId="0" fontId="0" fillId="57" borderId="42" xfId="1802" applyFont="1" applyFill="1" applyBorder="1" applyAlignment="1">
      <alignment horizontal="center" vertical="center" wrapText="1"/>
      <protection/>
    </xf>
    <xf numFmtId="0" fontId="0" fillId="0" borderId="57" xfId="1711" applyFont="1" applyFill="1" applyBorder="1" applyAlignment="1">
      <alignment horizontal="center" vertical="center" wrapText="1"/>
      <protection/>
    </xf>
    <xf numFmtId="0" fontId="0" fillId="0" borderId="59" xfId="1802" applyFont="1" applyFill="1" applyBorder="1" applyAlignment="1">
      <alignment horizontal="center" vertical="center" wrapText="1"/>
      <protection/>
    </xf>
    <xf numFmtId="0" fontId="19" fillId="0" borderId="33" xfId="1802" applyFont="1" applyFill="1" applyBorder="1" applyAlignment="1">
      <alignment horizontal="center" vertical="center" wrapText="1"/>
      <protection/>
    </xf>
    <xf numFmtId="0" fontId="0" fillId="0" borderId="27" xfId="1551" applyNumberFormat="1" applyFont="1" applyFill="1" applyBorder="1" applyAlignment="1">
      <alignment horizontal="left" vertical="center" wrapText="1"/>
      <protection/>
    </xf>
    <xf numFmtId="169" fontId="21" fillId="0" borderId="27" xfId="1551" applyNumberFormat="1" applyFont="1" applyFill="1" applyBorder="1" applyAlignment="1">
      <alignment horizontal="center" vertical="center"/>
      <protection/>
    </xf>
    <xf numFmtId="172" fontId="0" fillId="0" borderId="36" xfId="1337" applyNumberFormat="1" applyFill="1" applyBorder="1" applyAlignment="1" applyProtection="1">
      <alignment horizontal="center" vertical="center" wrapText="1"/>
      <protection/>
    </xf>
    <xf numFmtId="172" fontId="0" fillId="0" borderId="45" xfId="1431" applyNumberFormat="1" applyFont="1" applyFill="1" applyBorder="1" applyAlignment="1" applyProtection="1">
      <alignment horizontal="center" vertical="center" wrapText="1"/>
      <protection/>
    </xf>
    <xf numFmtId="0" fontId="0" fillId="0" borderId="40" xfId="1551" applyNumberFormat="1" applyFont="1" applyFill="1" applyBorder="1" applyAlignment="1">
      <alignment horizontal="center" vertical="center"/>
      <protection/>
    </xf>
    <xf numFmtId="0" fontId="0" fillId="0" borderId="57" xfId="1551" applyNumberFormat="1" applyFont="1" applyFill="1" applyBorder="1" applyAlignment="1">
      <alignment horizontal="center" vertical="center"/>
      <protection/>
    </xf>
    <xf numFmtId="166" fontId="33" fillId="0" borderId="35" xfId="2361" applyNumberFormat="1" applyFont="1" applyFill="1" applyBorder="1" applyAlignment="1">
      <alignment horizontal="center" vertical="center" wrapText="1"/>
    </xf>
    <xf numFmtId="172" fontId="0" fillId="0" borderId="35" xfId="1337" applyNumberFormat="1" applyFill="1" applyBorder="1" applyAlignment="1" applyProtection="1">
      <alignment horizontal="center" vertical="center" wrapText="1"/>
      <protection/>
    </xf>
    <xf numFmtId="172" fontId="0" fillId="0" borderId="49" xfId="1431" applyNumberFormat="1" applyFont="1" applyFill="1" applyBorder="1" applyAlignment="1" applyProtection="1">
      <alignment horizontal="center" vertical="center" wrapText="1"/>
      <protection/>
    </xf>
    <xf numFmtId="0" fontId="33" fillId="0" borderId="27" xfId="0" applyFont="1" applyBorder="1" applyAlignment="1">
      <alignment horizontal="center" vertical="center"/>
    </xf>
    <xf numFmtId="0" fontId="0" fillId="0" borderId="56" xfId="1490" applyFont="1" applyFill="1" applyBorder="1" applyAlignment="1">
      <alignment horizontal="center" vertical="center" wrapText="1"/>
      <protection/>
    </xf>
    <xf numFmtId="0" fontId="0" fillId="0" borderId="40" xfId="1490" applyFont="1" applyFill="1" applyBorder="1" applyAlignment="1">
      <alignment horizontal="center" vertical="center" wrapText="1"/>
      <protection/>
    </xf>
    <xf numFmtId="0" fontId="0" fillId="0" borderId="57" xfId="1490" applyFont="1" applyFill="1" applyBorder="1" applyAlignment="1">
      <alignment horizontal="center" vertical="center" wrapText="1"/>
      <protection/>
    </xf>
    <xf numFmtId="0" fontId="33" fillId="0" borderId="27" xfId="1711" applyFont="1" applyBorder="1" applyAlignment="1">
      <alignment horizontal="center" vertical="center"/>
      <protection/>
    </xf>
    <xf numFmtId="0" fontId="0" fillId="0" borderId="61" xfId="0" applyFont="1" applyFill="1" applyBorder="1" applyAlignment="1">
      <alignment horizontal="center" vertical="center" wrapText="1"/>
    </xf>
    <xf numFmtId="0" fontId="0" fillId="57" borderId="47" xfId="1802" applyFont="1" applyFill="1" applyBorder="1" applyAlignment="1">
      <alignment horizontal="center" vertical="center" wrapText="1"/>
      <protection/>
    </xf>
    <xf numFmtId="172" fontId="0" fillId="0" borderId="41" xfId="0" applyNumberFormat="1"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19" borderId="31" xfId="1710" applyFont="1" applyFill="1" applyBorder="1" applyAlignment="1" applyProtection="1">
      <alignment horizontal="center" vertical="center" wrapText="1"/>
      <protection/>
    </xf>
    <xf numFmtId="0" fontId="0" fillId="56" borderId="31" xfId="0" applyFont="1" applyFill="1" applyBorder="1" applyAlignment="1">
      <alignment horizontal="justify" vertical="center" wrapText="1"/>
    </xf>
    <xf numFmtId="164" fontId="0" fillId="19" borderId="31" xfId="1551" applyNumberFormat="1" applyFont="1" applyFill="1" applyBorder="1" applyAlignment="1">
      <alignment horizontal="center" vertical="center"/>
      <protection/>
    </xf>
    <xf numFmtId="0" fontId="0" fillId="0" borderId="62" xfId="0" applyFont="1" applyFill="1" applyBorder="1" applyAlignment="1">
      <alignment horizontal="center" vertical="center" wrapText="1"/>
    </xf>
    <xf numFmtId="0" fontId="0" fillId="0" borderId="31" xfId="0" applyFont="1" applyBorder="1" applyAlignment="1">
      <alignment horizontal="justify" vertical="center" wrapText="1"/>
    </xf>
    <xf numFmtId="0" fontId="0" fillId="0" borderId="31" xfId="1551" applyNumberFormat="1" applyFont="1" applyFill="1" applyBorder="1" applyAlignment="1">
      <alignment horizontal="center" vertical="center" wrapText="1"/>
      <protection/>
    </xf>
    <xf numFmtId="2" fontId="0" fillId="0" borderId="31" xfId="1551" applyNumberFormat="1" applyFont="1" applyFill="1" applyBorder="1" applyAlignment="1">
      <alignment horizontal="center" vertical="center" wrapText="1"/>
      <protection/>
    </xf>
    <xf numFmtId="169" fontId="0" fillId="0" borderId="31" xfId="2361" applyNumberFormat="1" applyFont="1" applyFill="1" applyBorder="1" applyAlignment="1">
      <alignment horizontal="center" vertical="center" wrapText="1"/>
    </xf>
    <xf numFmtId="0" fontId="0" fillId="0" borderId="36" xfId="0" applyFont="1" applyBorder="1" applyAlignment="1">
      <alignment horizontal="justify" vertical="center" wrapText="1"/>
    </xf>
    <xf numFmtId="2" fontId="0" fillId="0" borderId="36" xfId="0" applyNumberFormat="1" applyFont="1" applyBorder="1" applyAlignment="1">
      <alignment horizontal="center" vertical="center"/>
    </xf>
    <xf numFmtId="0" fontId="0" fillId="0" borderId="63" xfId="0" applyFont="1" applyFill="1" applyBorder="1" applyAlignment="1">
      <alignment horizontal="center" vertical="center" wrapText="1"/>
    </xf>
    <xf numFmtId="172" fontId="0" fillId="0" borderId="64" xfId="2361" applyNumberFormat="1"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53" borderId="22" xfId="1551" applyFont="1" applyFill="1" applyBorder="1" applyAlignment="1">
      <alignment horizontal="center" vertical="center" wrapText="1"/>
      <protection/>
    </xf>
    <xf numFmtId="0" fontId="0" fillId="0" borderId="62" xfId="1551" applyNumberFormat="1" applyFont="1" applyFill="1" applyBorder="1" applyAlignment="1">
      <alignment horizontal="center" vertical="center" wrapText="1"/>
      <protection/>
    </xf>
    <xf numFmtId="0" fontId="0" fillId="0" borderId="31" xfId="1551" applyNumberFormat="1" applyFont="1" applyFill="1" applyBorder="1" applyAlignment="1">
      <alignment horizontal="center" vertical="center" wrapText="1"/>
      <protection/>
    </xf>
    <xf numFmtId="0" fontId="0" fillId="58" borderId="27" xfId="1551" applyFont="1" applyFill="1" applyBorder="1" applyAlignment="1">
      <alignment horizontal="justify" vertical="center" wrapText="1"/>
      <protection/>
    </xf>
    <xf numFmtId="0" fontId="0" fillId="0" borderId="66" xfId="0" applyFont="1" applyFill="1" applyBorder="1" applyAlignment="1">
      <alignment horizontal="center" vertical="center" wrapText="1"/>
    </xf>
    <xf numFmtId="0" fontId="0" fillId="0" borderId="67" xfId="1551" applyFont="1" applyFill="1" applyBorder="1" applyAlignment="1">
      <alignment horizontal="justify" vertical="center" wrapText="1"/>
      <protection/>
    </xf>
    <xf numFmtId="0" fontId="0" fillId="0" borderId="67" xfId="0" applyNumberFormat="1" applyFont="1" applyFill="1" applyBorder="1" applyAlignment="1" applyProtection="1">
      <alignment horizontal="center" vertical="center"/>
      <protection/>
    </xf>
    <xf numFmtId="2" fontId="33" fillId="0" borderId="67" xfId="2361" applyNumberFormat="1" applyFont="1" applyFill="1" applyBorder="1" applyAlignment="1">
      <alignment horizontal="center" vertical="center" wrapText="1"/>
    </xf>
    <xf numFmtId="172" fontId="0" fillId="0" borderId="67" xfId="0" applyNumberFormat="1" applyFont="1" applyFill="1" applyBorder="1" applyAlignment="1" applyProtection="1">
      <alignment horizontal="center" vertical="center" wrapText="1"/>
      <protection/>
    </xf>
    <xf numFmtId="172" fontId="0" fillId="0" borderId="68" xfId="0" applyNumberFormat="1" applyFont="1" applyFill="1" applyBorder="1" applyAlignment="1" applyProtection="1">
      <alignment horizontal="center" vertical="center" wrapText="1"/>
      <protection/>
    </xf>
    <xf numFmtId="0" fontId="33" fillId="0" borderId="27" xfId="1710" applyFont="1" applyFill="1" applyBorder="1" applyAlignment="1">
      <alignment horizontal="center" vertical="center"/>
      <protection/>
    </xf>
    <xf numFmtId="0" fontId="0" fillId="55" borderId="47" xfId="1802" applyFont="1" applyFill="1" applyBorder="1" applyAlignment="1">
      <alignment horizontal="center" vertical="center" wrapText="1"/>
      <protection/>
    </xf>
    <xf numFmtId="0" fontId="0" fillId="55" borderId="48" xfId="1802" applyFont="1" applyFill="1" applyBorder="1" applyAlignment="1">
      <alignment horizontal="center" vertical="center" wrapText="1"/>
      <protection/>
    </xf>
    <xf numFmtId="0" fontId="0" fillId="0" borderId="27" xfId="1710" applyFont="1" applyFill="1" applyBorder="1" applyAlignment="1" applyProtection="1">
      <alignment horizontal="center" vertical="center" wrapText="1"/>
      <protection/>
    </xf>
    <xf numFmtId="0" fontId="0" fillId="0" borderId="27" xfId="1711" applyFont="1" applyFill="1" applyBorder="1" applyAlignment="1" applyProtection="1">
      <alignment horizontal="center" vertical="center" wrapText="1"/>
      <protection/>
    </xf>
    <xf numFmtId="0" fontId="0" fillId="55" borderId="48" xfId="0" applyFont="1" applyFill="1" applyBorder="1" applyAlignment="1">
      <alignment horizontal="center" vertical="center"/>
    </xf>
    <xf numFmtId="0" fontId="0" fillId="55" borderId="43" xfId="1802" applyFont="1" applyFill="1" applyBorder="1" applyAlignment="1">
      <alignment horizontal="center" vertical="center" wrapText="1"/>
      <protection/>
    </xf>
    <xf numFmtId="0" fontId="0" fillId="55" borderId="33" xfId="1802" applyFont="1" applyFill="1" applyBorder="1" applyAlignment="1">
      <alignment horizontal="center" vertical="center" wrapText="1"/>
      <protection/>
    </xf>
    <xf numFmtId="0" fontId="0" fillId="55" borderId="33" xfId="1551" applyFont="1" applyFill="1" applyBorder="1" applyAlignment="1">
      <alignment horizontal="center" vertical="center" wrapText="1"/>
      <protection/>
    </xf>
    <xf numFmtId="0" fontId="0" fillId="0" borderId="27" xfId="1551" applyFont="1" applyFill="1" applyBorder="1" applyAlignment="1">
      <alignment horizontal="center" vertical="center" wrapText="1"/>
      <protection/>
    </xf>
    <xf numFmtId="1" fontId="0" fillId="55" borderId="47" xfId="1551" applyNumberFormat="1" applyFont="1" applyFill="1" applyBorder="1" applyAlignment="1">
      <alignment horizontal="center" vertical="center" wrapText="1"/>
      <protection/>
    </xf>
    <xf numFmtId="1" fontId="0" fillId="55" borderId="42" xfId="1551" applyNumberFormat="1" applyFont="1" applyFill="1" applyBorder="1" applyAlignment="1">
      <alignment horizontal="center" vertical="center" wrapText="1"/>
      <protection/>
    </xf>
    <xf numFmtId="0" fontId="0" fillId="55" borderId="34" xfId="1802" applyFont="1" applyFill="1" applyBorder="1" applyAlignment="1">
      <alignment horizontal="center" vertical="center" wrapText="1"/>
      <protection/>
    </xf>
    <xf numFmtId="172" fontId="0" fillId="55" borderId="47" xfId="1431" applyNumberFormat="1" applyFont="1" applyFill="1" applyBorder="1" applyAlignment="1" applyProtection="1">
      <alignment horizontal="center" vertical="center" wrapText="1"/>
      <protection/>
    </xf>
    <xf numFmtId="172" fontId="0" fillId="55" borderId="42" xfId="1431" applyNumberFormat="1" applyFont="1" applyFill="1" applyBorder="1" applyAlignment="1" applyProtection="1">
      <alignment horizontal="center" vertical="center" wrapText="1"/>
      <protection/>
    </xf>
    <xf numFmtId="172" fontId="0" fillId="55" borderId="48" xfId="1431" applyNumberFormat="1" applyFont="1" applyFill="1" applyBorder="1" applyAlignment="1" applyProtection="1">
      <alignment horizontal="center" vertical="center" wrapText="1"/>
      <protection/>
    </xf>
    <xf numFmtId="0" fontId="33" fillId="55" borderId="47" xfId="1711" applyFont="1" applyFill="1" applyBorder="1" applyAlignment="1">
      <alignment horizontal="center" vertical="center" wrapText="1"/>
      <protection/>
    </xf>
    <xf numFmtId="0" fontId="33" fillId="55" borderId="42" xfId="1711" applyFont="1" applyFill="1" applyBorder="1" applyAlignment="1">
      <alignment horizontal="center" vertical="center" wrapText="1"/>
      <protection/>
    </xf>
    <xf numFmtId="0" fontId="33" fillId="57" borderId="48" xfId="0" applyFont="1" applyFill="1" applyBorder="1" applyAlignment="1">
      <alignment horizontal="center" vertical="center"/>
    </xf>
    <xf numFmtId="169" fontId="0" fillId="55" borderId="47" xfId="1551" applyNumberFormat="1" applyFont="1" applyFill="1" applyBorder="1" applyAlignment="1">
      <alignment horizontal="center" vertical="center" wrapText="1"/>
      <protection/>
    </xf>
    <xf numFmtId="165" fontId="0" fillId="55" borderId="42" xfId="1431" applyFont="1" applyFill="1" applyBorder="1" applyAlignment="1" applyProtection="1">
      <alignment horizontal="center" vertical="center" wrapText="1"/>
      <protection/>
    </xf>
    <xf numFmtId="169" fontId="0" fillId="55" borderId="48" xfId="1551" applyNumberFormat="1" applyFont="1" applyFill="1" applyBorder="1" applyAlignment="1">
      <alignment horizontal="center" vertical="center" wrapText="1"/>
      <protection/>
    </xf>
    <xf numFmtId="169" fontId="0" fillId="55" borderId="33" xfId="1551" applyNumberFormat="1" applyFont="1" applyFill="1" applyBorder="1" applyAlignment="1">
      <alignment horizontal="center" vertical="center" wrapText="1"/>
      <protection/>
    </xf>
    <xf numFmtId="0" fontId="0" fillId="55" borderId="34" xfId="1551" applyNumberFormat="1" applyFont="1" applyFill="1" applyBorder="1" applyAlignment="1">
      <alignment horizontal="center" vertical="center" wrapText="1"/>
      <protection/>
    </xf>
    <xf numFmtId="0" fontId="33" fillId="55" borderId="34" xfId="0" applyFont="1" applyFill="1" applyBorder="1" applyAlignment="1">
      <alignment horizontal="center" vertical="center"/>
    </xf>
    <xf numFmtId="2" fontId="0" fillId="0" borderId="27" xfId="846" applyNumberFormat="1" applyFont="1" applyFill="1" applyBorder="1" applyAlignment="1">
      <alignment horizontal="center" vertical="center"/>
    </xf>
    <xf numFmtId="0" fontId="0" fillId="56" borderId="27" xfId="1711" applyFont="1" applyFill="1" applyBorder="1" applyAlignment="1" applyProtection="1">
      <alignment horizontal="center" vertical="center" wrapText="1"/>
      <protection/>
    </xf>
    <xf numFmtId="0" fontId="0" fillId="56" borderId="27" xfId="1711" applyFont="1" applyFill="1" applyBorder="1" applyAlignment="1" applyProtection="1">
      <alignment horizontal="center" vertical="center" wrapText="1"/>
      <protection/>
    </xf>
    <xf numFmtId="0" fontId="0" fillId="0" borderId="0" xfId="0" applyAlignment="1">
      <alignment vertical="center"/>
    </xf>
    <xf numFmtId="172" fontId="0" fillId="0" borderId="27" xfId="1337" applyNumberFormat="1" applyFill="1" applyBorder="1" applyAlignment="1">
      <alignment horizontal="center" vertical="center"/>
    </xf>
    <xf numFmtId="0" fontId="0" fillId="0" borderId="0" xfId="1635" applyFont="1" applyFill="1" applyBorder="1" applyAlignment="1">
      <alignment vertical="center"/>
      <protection/>
    </xf>
    <xf numFmtId="0" fontId="23" fillId="59" borderId="25" xfId="0" applyFont="1" applyFill="1" applyBorder="1" applyAlignment="1">
      <alignment vertical="center"/>
    </xf>
    <xf numFmtId="0" fontId="62" fillId="59" borderId="48" xfId="0" applyFont="1" applyFill="1" applyBorder="1" applyAlignment="1">
      <alignment vertical="center"/>
    </xf>
    <xf numFmtId="0" fontId="23" fillId="59" borderId="26" xfId="0" applyFont="1" applyFill="1" applyBorder="1" applyAlignment="1">
      <alignment vertical="center"/>
    </xf>
    <xf numFmtId="49" fontId="33" fillId="0" borderId="27" xfId="0" applyNumberFormat="1" applyFont="1" applyFill="1" applyBorder="1" applyAlignment="1">
      <alignment horizontal="justify" vertical="center" wrapText="1"/>
    </xf>
    <xf numFmtId="2" fontId="0" fillId="0" borderId="27" xfId="2056" applyNumberFormat="1" applyFont="1" applyFill="1" applyBorder="1" applyAlignment="1">
      <alignment horizontal="center" vertical="center"/>
    </xf>
    <xf numFmtId="168" fontId="0" fillId="0" borderId="27" xfId="1347" applyNumberFormat="1" applyFont="1" applyFill="1" applyBorder="1" applyAlignment="1">
      <alignment horizontal="center" vertical="center" wrapText="1"/>
    </xf>
    <xf numFmtId="44" fontId="0" fillId="0" borderId="27" xfId="0" applyNumberFormat="1" applyBorder="1" applyAlignment="1">
      <alignment horizontal="right" vertical="center"/>
    </xf>
    <xf numFmtId="0" fontId="33" fillId="0" borderId="27" xfId="0" applyNumberFormat="1" applyFont="1" applyFill="1" applyBorder="1" applyAlignment="1">
      <alignment horizontal="center" vertical="center" wrapText="1"/>
    </xf>
    <xf numFmtId="0" fontId="0" fillId="0" borderId="28" xfId="0" applyBorder="1" applyAlignment="1">
      <alignment horizontal="right"/>
    </xf>
    <xf numFmtId="168" fontId="0" fillId="0" borderId="28" xfId="0" applyNumberFormat="1" applyBorder="1" applyAlignment="1">
      <alignment horizontal="center"/>
    </xf>
    <xf numFmtId="0" fontId="27" fillId="0" borderId="0" xfId="1711" applyFont="1" applyAlignment="1">
      <alignment horizontal="center"/>
      <protection/>
    </xf>
    <xf numFmtId="4" fontId="0" fillId="0" borderId="31" xfId="1551" applyNumberFormat="1" applyFont="1" applyFill="1" applyBorder="1" applyAlignment="1">
      <alignment horizontal="justify" vertical="center" wrapText="1"/>
      <protection/>
    </xf>
    <xf numFmtId="169" fontId="0" fillId="0" borderId="44" xfId="1551" applyNumberFormat="1" applyFont="1" applyFill="1" applyBorder="1" applyAlignment="1">
      <alignment horizontal="center" vertical="center" wrapText="1"/>
      <protection/>
    </xf>
    <xf numFmtId="0" fontId="72" fillId="0" borderId="0" xfId="0" applyFont="1" applyFill="1" applyBorder="1" applyAlignment="1">
      <alignment vertical="center"/>
    </xf>
    <xf numFmtId="0" fontId="72" fillId="0" borderId="0" xfId="0" applyFont="1" applyFill="1" applyBorder="1" applyAlignment="1">
      <alignment horizontal="left" vertical="center"/>
    </xf>
    <xf numFmtId="0" fontId="33" fillId="0" borderId="0" xfId="0" applyFont="1" applyBorder="1" applyAlignment="1">
      <alignment horizontal="center" vertical="center"/>
    </xf>
    <xf numFmtId="0" fontId="0" fillId="0" borderId="0" xfId="1551" applyNumberFormat="1" applyFont="1" applyFill="1" applyBorder="1" applyAlignment="1">
      <alignment horizontal="center" vertical="center" wrapText="1"/>
      <protection/>
    </xf>
    <xf numFmtId="0" fontId="33" fillId="0" borderId="28" xfId="0" applyFont="1" applyBorder="1" applyAlignment="1">
      <alignment horizontal="center" vertical="center"/>
    </xf>
    <xf numFmtId="0" fontId="0" fillId="0" borderId="28" xfId="1551" applyNumberFormat="1" applyFont="1" applyFill="1" applyBorder="1" applyAlignment="1">
      <alignment horizontal="center" vertical="center" wrapText="1"/>
      <protection/>
    </xf>
    <xf numFmtId="0" fontId="33" fillId="0" borderId="31" xfId="0" applyFont="1" applyFill="1" applyBorder="1" applyAlignment="1">
      <alignment horizontal="justify" vertical="center" wrapText="1"/>
    </xf>
    <xf numFmtId="0" fontId="72" fillId="0" borderId="0" xfId="0" applyFont="1" applyFill="1" applyBorder="1" applyAlignment="1">
      <alignment horizontal="center" vertical="center"/>
    </xf>
    <xf numFmtId="208" fontId="72" fillId="0" borderId="0" xfId="2341" applyNumberFormat="1" applyFont="1" applyFill="1" applyBorder="1" applyAlignment="1">
      <alignment horizontal="right" vertical="center"/>
    </xf>
    <xf numFmtId="0" fontId="0" fillId="0" borderId="58" xfId="1711" applyFont="1" applyFill="1" applyBorder="1" applyAlignment="1" applyProtection="1">
      <alignment horizontal="justify" vertical="center" wrapText="1"/>
      <protection/>
    </xf>
    <xf numFmtId="0" fontId="0" fillId="0" borderId="58" xfId="0" applyFont="1" applyBorder="1" applyAlignment="1">
      <alignment vertical="center" wrapText="1"/>
    </xf>
    <xf numFmtId="0" fontId="0" fillId="19" borderId="58" xfId="1711" applyFont="1" applyFill="1" applyBorder="1" applyAlignment="1" applyProtection="1">
      <alignment horizontal="left" vertical="center" wrapText="1"/>
      <protection/>
    </xf>
    <xf numFmtId="0" fontId="72" fillId="0" borderId="28" xfId="0" applyFont="1" applyFill="1" applyBorder="1" applyAlignment="1">
      <alignment vertical="center"/>
    </xf>
    <xf numFmtId="0" fontId="0" fillId="57" borderId="42" xfId="2361" applyNumberFormat="1" applyFont="1" applyFill="1" applyBorder="1" applyAlignment="1">
      <alignment horizontal="center" vertical="center" wrapText="1"/>
    </xf>
    <xf numFmtId="0" fontId="33" fillId="0" borderId="36" xfId="0" applyFont="1" applyFill="1" applyBorder="1" applyAlignment="1">
      <alignment horizontal="justify" vertical="center" wrapText="1"/>
    </xf>
    <xf numFmtId="0" fontId="8" fillId="0" borderId="0" xfId="0" applyFont="1" applyAlignment="1">
      <alignment horizontal="right"/>
    </xf>
    <xf numFmtId="44" fontId="0" fillId="0" borderId="27" xfId="0" applyNumberFormat="1" applyBorder="1" applyAlignment="1">
      <alignment horizontal="right"/>
    </xf>
    <xf numFmtId="0" fontId="0" fillId="0" borderId="27" xfId="1710" applyFont="1" applyFill="1" applyBorder="1" applyAlignment="1" applyProtection="1">
      <alignment horizontal="center" wrapText="1"/>
      <protection/>
    </xf>
    <xf numFmtId="0" fontId="0" fillId="0" borderId="27" xfId="1711" applyFont="1" applyFill="1" applyBorder="1" applyAlignment="1" applyProtection="1">
      <alignment horizontal="justify" wrapText="1"/>
      <protection/>
    </xf>
    <xf numFmtId="0" fontId="0" fillId="0" borderId="27" xfId="1711" applyFont="1" applyFill="1" applyBorder="1" applyAlignment="1" applyProtection="1">
      <alignment horizontal="center" wrapText="1"/>
      <protection/>
    </xf>
    <xf numFmtId="4" fontId="0" fillId="0" borderId="27" xfId="1711" applyNumberFormat="1" applyFont="1" applyFill="1" applyBorder="1" applyAlignment="1">
      <alignment horizontal="center" wrapText="1"/>
      <protection/>
    </xf>
    <xf numFmtId="168" fontId="0" fillId="0" borderId="27" xfId="1403" applyFont="1" applyFill="1" applyBorder="1" applyAlignment="1" applyProtection="1">
      <alignment horizontal="center"/>
      <protection/>
    </xf>
    <xf numFmtId="0" fontId="0" fillId="0" borderId="27" xfId="1802" applyFont="1" applyFill="1" applyBorder="1" applyAlignment="1">
      <alignment horizontal="center" wrapText="1"/>
      <protection/>
    </xf>
    <xf numFmtId="0" fontId="0" fillId="0" borderId="27" xfId="1711" applyNumberFormat="1" applyFont="1" applyFill="1" applyBorder="1" applyAlignment="1">
      <alignment horizontal="center" wrapText="1"/>
      <protection/>
    </xf>
    <xf numFmtId="0" fontId="0" fillId="56" borderId="27" xfId="0" applyFont="1" applyFill="1" applyBorder="1" applyAlignment="1">
      <alignment horizontal="center" vertical="center" wrapText="1"/>
    </xf>
    <xf numFmtId="4" fontId="22" fillId="0" borderId="21" xfId="1809" applyNumberFormat="1" applyFont="1" applyFill="1" applyBorder="1" applyAlignment="1">
      <alignment horizontal="left" vertical="center" wrapText="1"/>
      <protection/>
    </xf>
    <xf numFmtId="4" fontId="22" fillId="0" borderId="23" xfId="1809" applyNumberFormat="1" applyFont="1" applyFill="1" applyBorder="1" applyAlignment="1">
      <alignment horizontal="left" vertical="center" wrapText="1"/>
      <protection/>
    </xf>
    <xf numFmtId="4" fontId="22" fillId="0" borderId="69" xfId="1809" applyNumberFormat="1" applyFont="1" applyFill="1" applyBorder="1" applyAlignment="1">
      <alignment horizontal="left" vertical="center" wrapText="1"/>
      <protection/>
    </xf>
    <xf numFmtId="49" fontId="30" fillId="0" borderId="21" xfId="1475" applyNumberFormat="1" applyFont="1" applyFill="1" applyBorder="1" applyAlignment="1">
      <alignment horizontal="justify" vertical="center" wrapText="1"/>
      <protection/>
    </xf>
    <xf numFmtId="49" fontId="31" fillId="0" borderId="69" xfId="1475" applyNumberFormat="1" applyFont="1" applyFill="1" applyBorder="1" applyAlignment="1">
      <alignment horizontal="justify" vertical="center" wrapText="1"/>
      <protection/>
    </xf>
    <xf numFmtId="0" fontId="32" fillId="0" borderId="24" xfId="1808" applyFont="1" applyFill="1" applyBorder="1" applyAlignment="1">
      <alignment horizontal="center"/>
      <protection/>
    </xf>
    <xf numFmtId="0" fontId="32" fillId="0" borderId="0" xfId="1808" applyFont="1" applyFill="1" applyBorder="1" applyAlignment="1">
      <alignment horizontal="center"/>
      <protection/>
    </xf>
    <xf numFmtId="49" fontId="30" fillId="0" borderId="69" xfId="1475" applyNumberFormat="1" applyFont="1" applyFill="1" applyBorder="1" applyAlignment="1">
      <alignment horizontal="justify" vertical="center" wrapText="1"/>
      <protection/>
    </xf>
    <xf numFmtId="0" fontId="24" fillId="0" borderId="21" xfId="1809" applyFont="1" applyFill="1" applyBorder="1" applyAlignment="1">
      <alignment horizontal="justify" vertical="center" wrapText="1"/>
      <protection/>
    </xf>
    <xf numFmtId="0" fontId="19" fillId="0" borderId="69" xfId="1809" applyFont="1" applyFill="1" applyBorder="1" applyAlignment="1">
      <alignment horizontal="justify" vertical="center" wrapText="1"/>
      <protection/>
    </xf>
    <xf numFmtId="0" fontId="23" fillId="59" borderId="24" xfId="0" applyFont="1" applyFill="1" applyBorder="1" applyAlignment="1">
      <alignment horizontal="left"/>
    </xf>
    <xf numFmtId="0" fontId="62" fillId="59" borderId="0" xfId="0" applyFont="1" applyFill="1" applyBorder="1" applyAlignment="1">
      <alignment horizontal="left"/>
    </xf>
    <xf numFmtId="0" fontId="62" fillId="59" borderId="42" xfId="0" applyFont="1" applyFill="1" applyBorder="1" applyAlignment="1">
      <alignment horizontal="left"/>
    </xf>
    <xf numFmtId="0" fontId="23" fillId="59" borderId="32" xfId="0" applyFont="1" applyFill="1" applyBorder="1" applyAlignment="1">
      <alignment horizontal="left"/>
    </xf>
    <xf numFmtId="0" fontId="23" fillId="59" borderId="37" xfId="0" applyFont="1" applyFill="1" applyBorder="1" applyAlignment="1">
      <alignment horizontal="left"/>
    </xf>
    <xf numFmtId="0" fontId="23" fillId="59" borderId="47" xfId="0" applyFont="1" applyFill="1" applyBorder="1" applyAlignment="1">
      <alignment horizontal="left"/>
    </xf>
    <xf numFmtId="0" fontId="26" fillId="56" borderId="21" xfId="0" applyFont="1" applyFill="1" applyBorder="1" applyAlignment="1">
      <alignment horizontal="center" vertical="center" wrapText="1"/>
    </xf>
    <xf numFmtId="0" fontId="26" fillId="56" borderId="23" xfId="0" applyFont="1" applyFill="1" applyBorder="1" applyAlignment="1">
      <alignment horizontal="center" vertical="center" wrapText="1"/>
    </xf>
    <xf numFmtId="0" fontId="26" fillId="56" borderId="69" xfId="0" applyFont="1" applyFill="1" applyBorder="1" applyAlignment="1">
      <alignment horizontal="center" vertical="center" wrapText="1"/>
    </xf>
    <xf numFmtId="4" fontId="25" fillId="60" borderId="24" xfId="1549" applyNumberFormat="1" applyFont="1" applyFill="1" applyBorder="1" applyAlignment="1" applyProtection="1">
      <alignment horizontal="center" vertical="center" wrapText="1"/>
      <protection locked="0"/>
    </xf>
    <xf numFmtId="4" fontId="25" fillId="60" borderId="0" xfId="1549" applyNumberFormat="1" applyFont="1" applyFill="1" applyBorder="1" applyAlignment="1" applyProtection="1">
      <alignment horizontal="center" vertical="center" wrapText="1"/>
      <protection locked="0"/>
    </xf>
    <xf numFmtId="4" fontId="25" fillId="60" borderId="42" xfId="1549" applyNumberFormat="1" applyFont="1" applyFill="1" applyBorder="1" applyAlignment="1" applyProtection="1">
      <alignment horizontal="center" vertical="center" wrapText="1"/>
      <protection locked="0"/>
    </xf>
    <xf numFmtId="4" fontId="25" fillId="60" borderId="25" xfId="1549" applyNumberFormat="1" applyFont="1" applyFill="1" applyBorder="1" applyAlignment="1" applyProtection="1">
      <alignment horizontal="center" vertical="center" wrapText="1"/>
      <protection locked="0"/>
    </xf>
    <xf numFmtId="4" fontId="25" fillId="60" borderId="26" xfId="1549" applyNumberFormat="1" applyFont="1" applyFill="1" applyBorder="1" applyAlignment="1" applyProtection="1">
      <alignment horizontal="center" vertical="center" wrapText="1"/>
      <protection locked="0"/>
    </xf>
    <xf numFmtId="4" fontId="25" fillId="60" borderId="48" xfId="1549" applyNumberFormat="1" applyFont="1" applyFill="1" applyBorder="1" applyAlignment="1" applyProtection="1">
      <alignment horizontal="center" vertical="center" wrapText="1"/>
      <protection locked="0"/>
    </xf>
    <xf numFmtId="4" fontId="22" fillId="60" borderId="70" xfId="1549" applyNumberFormat="1" applyFont="1" applyFill="1" applyBorder="1" applyAlignment="1" applyProtection="1">
      <alignment horizontal="center" vertical="center" wrapText="1"/>
      <protection locked="0"/>
    </xf>
    <xf numFmtId="4" fontId="22" fillId="60" borderId="71" xfId="1549" applyNumberFormat="1" applyFont="1" applyFill="1" applyBorder="1" applyAlignment="1" applyProtection="1">
      <alignment horizontal="center" vertical="center" wrapText="1"/>
      <protection locked="0"/>
    </xf>
    <xf numFmtId="4" fontId="22" fillId="60" borderId="72" xfId="1549" applyNumberFormat="1" applyFont="1" applyFill="1" applyBorder="1" applyAlignment="1" applyProtection="1">
      <alignment horizontal="center" vertical="center" wrapText="1"/>
      <protection locked="0"/>
    </xf>
    <xf numFmtId="4" fontId="23" fillId="27" borderId="21" xfId="1807" applyNumberFormat="1" applyFont="1" applyFill="1" applyBorder="1" applyAlignment="1">
      <alignment horizontal="center" vertical="center" wrapText="1"/>
      <protection/>
    </xf>
    <xf numFmtId="4" fontId="23" fillId="27" borderId="23" xfId="1807" applyNumberFormat="1" applyFont="1" applyFill="1" applyBorder="1" applyAlignment="1">
      <alignment horizontal="center" vertical="center" wrapText="1"/>
      <protection/>
    </xf>
    <xf numFmtId="169" fontId="19" fillId="27" borderId="62" xfId="1549" applyNumberFormat="1" applyFont="1" applyFill="1" applyBorder="1" applyAlignment="1">
      <alignment horizontal="center" vertical="center" wrapText="1"/>
      <protection/>
    </xf>
    <xf numFmtId="169" fontId="19" fillId="27" borderId="52" xfId="1549" applyNumberFormat="1" applyFont="1" applyFill="1" applyBorder="1" applyAlignment="1">
      <alignment horizontal="center" vertical="center" wrapText="1"/>
      <protection/>
    </xf>
    <xf numFmtId="169" fontId="19" fillId="27" borderId="73" xfId="1549" applyNumberFormat="1" applyFont="1" applyFill="1" applyBorder="1" applyAlignment="1">
      <alignment horizontal="center" vertical="center" wrapText="1"/>
      <protection/>
    </xf>
    <xf numFmtId="0" fontId="27" fillId="19" borderId="25" xfId="1710" applyFont="1" applyFill="1" applyBorder="1" applyAlignment="1">
      <alignment horizontal="center"/>
      <protection/>
    </xf>
    <xf numFmtId="0" fontId="27" fillId="19" borderId="26" xfId="1710" applyFont="1" applyFill="1" applyBorder="1" applyAlignment="1">
      <alignment horizontal="center"/>
      <protection/>
    </xf>
    <xf numFmtId="0" fontId="27" fillId="19" borderId="48" xfId="1710" applyFont="1" applyFill="1" applyBorder="1" applyAlignment="1">
      <alignment horizontal="center"/>
      <protection/>
    </xf>
    <xf numFmtId="4" fontId="28" fillId="60" borderId="32" xfId="1549" applyNumberFormat="1" applyFont="1" applyFill="1" applyBorder="1" applyAlignment="1" applyProtection="1">
      <alignment horizontal="center" vertical="center" wrapText="1"/>
      <protection locked="0"/>
    </xf>
    <xf numFmtId="4" fontId="28" fillId="60" borderId="37" xfId="1549" applyNumberFormat="1" applyFont="1" applyFill="1" applyBorder="1" applyAlignment="1" applyProtection="1">
      <alignment horizontal="center" vertical="center" wrapText="1"/>
      <protection locked="0"/>
    </xf>
    <xf numFmtId="4" fontId="28" fillId="60" borderId="47" xfId="1549" applyNumberFormat="1" applyFont="1" applyFill="1" applyBorder="1" applyAlignment="1" applyProtection="1">
      <alignment horizontal="center" vertical="center" wrapText="1"/>
      <protection locked="0"/>
    </xf>
    <xf numFmtId="4" fontId="26" fillId="60" borderId="24" xfId="1549" applyNumberFormat="1" applyFont="1" applyFill="1" applyBorder="1" applyAlignment="1" applyProtection="1">
      <alignment horizontal="center" vertical="center" wrapText="1"/>
      <protection locked="0"/>
    </xf>
    <xf numFmtId="4" fontId="26" fillId="60" borderId="0" xfId="1549" applyNumberFormat="1" applyFont="1" applyFill="1" applyBorder="1" applyAlignment="1" applyProtection="1">
      <alignment horizontal="center" vertical="center" wrapText="1"/>
      <protection locked="0"/>
    </xf>
    <xf numFmtId="4" fontId="26" fillId="60" borderId="42" xfId="1549" applyNumberFormat="1" applyFont="1" applyFill="1" applyBorder="1" applyAlignment="1" applyProtection="1">
      <alignment horizontal="center" vertical="center" wrapText="1"/>
      <protection locked="0"/>
    </xf>
    <xf numFmtId="4" fontId="23" fillId="27" borderId="24" xfId="1807" applyNumberFormat="1" applyFont="1" applyFill="1" applyBorder="1" applyAlignment="1">
      <alignment horizontal="center" vertical="center" wrapText="1"/>
      <protection/>
    </xf>
    <xf numFmtId="4" fontId="23" fillId="27" borderId="0" xfId="1807" applyNumberFormat="1" applyFont="1" applyFill="1" applyBorder="1" applyAlignment="1">
      <alignment horizontal="center" vertical="center" wrapText="1"/>
      <protection/>
    </xf>
    <xf numFmtId="4" fontId="23" fillId="27" borderId="42" xfId="1807" applyNumberFormat="1" applyFont="1" applyFill="1" applyBorder="1" applyAlignment="1">
      <alignment horizontal="center" vertical="center" wrapText="1"/>
      <protection/>
    </xf>
    <xf numFmtId="0" fontId="29" fillId="19" borderId="25" xfId="1549" applyFont="1" applyFill="1" applyBorder="1" applyAlignment="1" applyProtection="1">
      <alignment horizontal="center" vertical="center"/>
      <protection locked="0"/>
    </xf>
    <xf numFmtId="0" fontId="29" fillId="19" borderId="26" xfId="1549" applyFont="1" applyFill="1" applyBorder="1" applyAlignment="1" applyProtection="1">
      <alignment horizontal="center" vertical="center"/>
      <protection locked="0"/>
    </xf>
    <xf numFmtId="0" fontId="29" fillId="19" borderId="48" xfId="1549" applyFont="1" applyFill="1" applyBorder="1" applyAlignment="1" applyProtection="1">
      <alignment horizontal="center" vertical="center"/>
      <protection locked="0"/>
    </xf>
    <xf numFmtId="169" fontId="19" fillId="54" borderId="32" xfId="1551" applyNumberFormat="1" applyFont="1" applyFill="1" applyBorder="1" applyAlignment="1">
      <alignment horizontal="center" vertical="center"/>
      <protection/>
    </xf>
    <xf numFmtId="169" fontId="19" fillId="54" borderId="37" xfId="1551" applyNumberFormat="1" applyFont="1" applyFill="1" applyBorder="1" applyAlignment="1">
      <alignment horizontal="center" vertical="center"/>
      <protection/>
    </xf>
    <xf numFmtId="169" fontId="19" fillId="54" borderId="47" xfId="1551" applyNumberFormat="1" applyFont="1" applyFill="1" applyBorder="1" applyAlignment="1">
      <alignment horizontal="center" vertical="center"/>
      <protection/>
    </xf>
    <xf numFmtId="7" fontId="19" fillId="0" borderId="24" xfId="0" applyNumberFormat="1" applyFont="1" applyFill="1" applyBorder="1" applyAlignment="1" applyProtection="1">
      <alignment horizontal="center" vertical="center"/>
      <protection/>
    </xf>
    <xf numFmtId="7" fontId="19" fillId="0" borderId="0" xfId="0" applyNumberFormat="1" applyFont="1" applyFill="1" applyBorder="1" applyAlignment="1" applyProtection="1">
      <alignment horizontal="center" vertical="center"/>
      <protection/>
    </xf>
    <xf numFmtId="7" fontId="19" fillId="0" borderId="42" xfId="0" applyNumberFormat="1" applyFont="1" applyFill="1" applyBorder="1" applyAlignment="1" applyProtection="1">
      <alignment horizontal="center" vertical="center"/>
      <protection/>
    </xf>
    <xf numFmtId="164" fontId="19" fillId="19" borderId="62" xfId="1549" applyNumberFormat="1" applyFont="1" applyFill="1" applyBorder="1" applyAlignment="1">
      <alignment horizontal="center" vertical="center"/>
      <protection/>
    </xf>
    <xf numFmtId="164" fontId="19" fillId="19" borderId="52" xfId="1549" applyNumberFormat="1" applyFont="1" applyFill="1" applyBorder="1" applyAlignment="1">
      <alignment horizontal="center" vertical="center"/>
      <protection/>
    </xf>
    <xf numFmtId="164" fontId="19" fillId="19" borderId="73" xfId="1549" applyNumberFormat="1" applyFont="1" applyFill="1" applyBorder="1" applyAlignment="1">
      <alignment horizontal="center" vertical="center"/>
      <protection/>
    </xf>
    <xf numFmtId="0" fontId="27" fillId="56" borderId="63" xfId="1710" applyFont="1" applyFill="1" applyBorder="1" applyAlignment="1">
      <alignment horizontal="center"/>
      <protection/>
    </xf>
    <xf numFmtId="0" fontId="27" fillId="56" borderId="74" xfId="1710" applyFont="1" applyFill="1" applyBorder="1" applyAlignment="1">
      <alignment horizontal="center"/>
      <protection/>
    </xf>
    <xf numFmtId="0" fontId="27" fillId="56" borderId="64" xfId="1710" applyFont="1" applyFill="1" applyBorder="1" applyAlignment="1">
      <alignment horizontal="center"/>
      <protection/>
    </xf>
    <xf numFmtId="4" fontId="22" fillId="60" borderId="32" xfId="1549" applyNumberFormat="1" applyFont="1" applyFill="1" applyBorder="1" applyAlignment="1" applyProtection="1">
      <alignment horizontal="center" vertical="center" wrapText="1"/>
      <protection locked="0"/>
    </xf>
    <xf numFmtId="4" fontId="22" fillId="60" borderId="37" xfId="1549" applyNumberFormat="1" applyFont="1" applyFill="1" applyBorder="1" applyAlignment="1" applyProtection="1">
      <alignment horizontal="center" vertical="center" wrapText="1"/>
      <protection locked="0"/>
    </xf>
    <xf numFmtId="4" fontId="22" fillId="60" borderId="47" xfId="1549" applyNumberFormat="1" applyFont="1" applyFill="1" applyBorder="1" applyAlignment="1" applyProtection="1">
      <alignment horizontal="center" vertical="center" wrapText="1"/>
      <protection locked="0"/>
    </xf>
    <xf numFmtId="0" fontId="26" fillId="19" borderId="25" xfId="1549" applyFont="1" applyFill="1" applyBorder="1" applyAlignment="1" applyProtection="1">
      <alignment horizontal="center" vertical="center"/>
      <protection locked="0"/>
    </xf>
    <xf numFmtId="0" fontId="26" fillId="19" borderId="26" xfId="1549" applyFont="1" applyFill="1" applyBorder="1" applyAlignment="1" applyProtection="1">
      <alignment horizontal="center" vertical="center"/>
      <protection locked="0"/>
    </xf>
    <xf numFmtId="0" fontId="26" fillId="19" borderId="48" xfId="1549" applyFont="1" applyFill="1" applyBorder="1" applyAlignment="1" applyProtection="1">
      <alignment horizontal="center" vertical="center"/>
      <protection locked="0"/>
    </xf>
    <xf numFmtId="0" fontId="0" fillId="56" borderId="21" xfId="0" applyFill="1" applyBorder="1" applyAlignment="1">
      <alignment horizontal="center"/>
    </xf>
    <xf numFmtId="0" fontId="0" fillId="56" borderId="23" xfId="0" applyFill="1" applyBorder="1" applyAlignment="1">
      <alignment horizontal="center"/>
    </xf>
    <xf numFmtId="0" fontId="0" fillId="56" borderId="69" xfId="0" applyFill="1" applyBorder="1" applyAlignment="1">
      <alignment horizontal="center"/>
    </xf>
    <xf numFmtId="169" fontId="19" fillId="19" borderId="62" xfId="1712" applyNumberFormat="1" applyFont="1" applyFill="1" applyBorder="1" applyAlignment="1" applyProtection="1">
      <alignment horizontal="center" vertical="center" wrapText="1"/>
      <protection/>
    </xf>
    <xf numFmtId="169" fontId="19" fillId="19" borderId="52" xfId="1712" applyNumberFormat="1" applyFont="1" applyFill="1" applyBorder="1" applyAlignment="1" applyProtection="1">
      <alignment horizontal="center" vertical="center" wrapText="1"/>
      <protection/>
    </xf>
    <xf numFmtId="169" fontId="19" fillId="19" borderId="73" xfId="1712" applyNumberFormat="1" applyFont="1" applyFill="1" applyBorder="1" applyAlignment="1" applyProtection="1">
      <alignment horizontal="center" vertical="center" wrapText="1"/>
      <protection/>
    </xf>
    <xf numFmtId="4" fontId="23" fillId="60" borderId="24" xfId="1549" applyNumberFormat="1" applyFont="1" applyFill="1" applyBorder="1" applyAlignment="1" applyProtection="1">
      <alignment horizontal="center" vertical="center" wrapText="1"/>
      <protection locked="0"/>
    </xf>
    <xf numFmtId="4" fontId="23" fillId="60" borderId="0" xfId="1549" applyNumberFormat="1" applyFont="1" applyFill="1" applyBorder="1" applyAlignment="1" applyProtection="1">
      <alignment horizontal="center" vertical="center" wrapText="1"/>
      <protection locked="0"/>
    </xf>
    <xf numFmtId="4" fontId="23" fillId="60" borderId="42" xfId="1549" applyNumberFormat="1" applyFont="1" applyFill="1" applyBorder="1" applyAlignment="1" applyProtection="1">
      <alignment horizontal="center" vertical="center" wrapText="1"/>
      <protection locked="0"/>
    </xf>
    <xf numFmtId="0" fontId="24" fillId="19" borderId="25" xfId="1549" applyFont="1" applyFill="1" applyBorder="1" applyAlignment="1" applyProtection="1">
      <alignment horizontal="center" vertical="center"/>
      <protection locked="0"/>
    </xf>
    <xf numFmtId="0" fontId="24" fillId="19" borderId="26" xfId="1549" applyFont="1" applyFill="1" applyBorder="1" applyAlignment="1" applyProtection="1">
      <alignment horizontal="center" vertical="center"/>
      <protection locked="0"/>
    </xf>
    <xf numFmtId="0" fontId="24" fillId="19" borderId="48" xfId="1549" applyFont="1" applyFill="1" applyBorder="1" applyAlignment="1" applyProtection="1">
      <alignment horizontal="center" vertical="center"/>
      <protection locked="0"/>
    </xf>
    <xf numFmtId="172" fontId="19" fillId="0" borderId="32" xfId="0" applyNumberFormat="1" applyFont="1" applyFill="1" applyBorder="1" applyAlignment="1">
      <alignment horizontal="center" vertical="center" wrapText="1"/>
    </xf>
    <xf numFmtId="172" fontId="19" fillId="0" borderId="37" xfId="0" applyNumberFormat="1" applyFont="1" applyFill="1" applyBorder="1" applyAlignment="1">
      <alignment horizontal="center" vertical="center" wrapText="1"/>
    </xf>
    <xf numFmtId="172" fontId="19" fillId="0" borderId="21" xfId="0" applyNumberFormat="1" applyFont="1" applyFill="1" applyBorder="1" applyAlignment="1">
      <alignment horizontal="center" vertical="center" wrapText="1"/>
    </xf>
    <xf numFmtId="172" fontId="19" fillId="0" borderId="23" xfId="0" applyNumberFormat="1" applyFont="1" applyFill="1" applyBorder="1" applyAlignment="1">
      <alignment horizontal="center" vertical="center" wrapText="1"/>
    </xf>
    <xf numFmtId="169" fontId="19" fillId="0" borderId="21" xfId="1551" applyNumberFormat="1" applyFont="1" applyFill="1" applyBorder="1" applyAlignment="1">
      <alignment horizontal="center" vertical="center" wrapText="1"/>
      <protection/>
    </xf>
    <xf numFmtId="169" fontId="19" fillId="0" borderId="23" xfId="1551" applyNumberFormat="1" applyFont="1" applyFill="1" applyBorder="1" applyAlignment="1">
      <alignment horizontal="center" vertical="center" wrapText="1"/>
      <protection/>
    </xf>
    <xf numFmtId="169" fontId="19" fillId="19" borderId="66" xfId="1712" applyNumberFormat="1" applyFont="1" applyFill="1" applyBorder="1" applyAlignment="1" applyProtection="1">
      <alignment horizontal="center" vertical="center" wrapText="1"/>
      <protection/>
    </xf>
    <xf numFmtId="169" fontId="19" fillId="19" borderId="67" xfId="1712" applyNumberFormat="1" applyFont="1" applyFill="1" applyBorder="1" applyAlignment="1" applyProtection="1">
      <alignment horizontal="center" vertical="center" wrapText="1"/>
      <protection/>
    </xf>
    <xf numFmtId="169" fontId="19" fillId="19" borderId="68" xfId="1712" applyNumberFormat="1" applyFont="1" applyFill="1" applyBorder="1" applyAlignment="1" applyProtection="1">
      <alignment horizontal="center" vertical="center" wrapText="1"/>
      <protection/>
    </xf>
    <xf numFmtId="172" fontId="19" fillId="0" borderId="32" xfId="0" applyNumberFormat="1" applyFont="1" applyFill="1" applyBorder="1" applyAlignment="1" applyProtection="1">
      <alignment horizontal="center" vertical="center"/>
      <protection/>
    </xf>
    <xf numFmtId="172" fontId="19" fillId="0" borderId="37" xfId="0" applyNumberFormat="1" applyFont="1" applyFill="1" applyBorder="1" applyAlignment="1" applyProtection="1">
      <alignment horizontal="center" vertical="center"/>
      <protection/>
    </xf>
    <xf numFmtId="172" fontId="19" fillId="0" borderId="47" xfId="0" applyNumberFormat="1" applyFont="1" applyFill="1" applyBorder="1" applyAlignment="1" applyProtection="1">
      <alignment horizontal="center" vertical="center"/>
      <protection/>
    </xf>
    <xf numFmtId="172" fontId="19" fillId="0" borderId="24" xfId="0" applyNumberFormat="1" applyFont="1" applyFill="1" applyBorder="1" applyAlignment="1" applyProtection="1">
      <alignment horizontal="center" vertical="center"/>
      <protection/>
    </xf>
    <xf numFmtId="172" fontId="19" fillId="0" borderId="0" xfId="0" applyNumberFormat="1" applyFont="1" applyFill="1" applyBorder="1" applyAlignment="1" applyProtection="1">
      <alignment horizontal="center" vertical="center"/>
      <protection/>
    </xf>
    <xf numFmtId="172" fontId="19" fillId="0" borderId="42" xfId="0" applyNumberFormat="1" applyFont="1" applyFill="1" applyBorder="1" applyAlignment="1" applyProtection="1">
      <alignment horizontal="center" vertical="center"/>
      <protection/>
    </xf>
    <xf numFmtId="169" fontId="19" fillId="0" borderId="26" xfId="0" applyNumberFormat="1" applyFont="1" applyFill="1" applyBorder="1" applyAlignment="1" applyProtection="1">
      <alignment horizontal="center" vertical="center"/>
      <protection/>
    </xf>
    <xf numFmtId="169" fontId="19" fillId="0" borderId="48" xfId="0" applyNumberFormat="1" applyFont="1" applyFill="1" applyBorder="1" applyAlignment="1" applyProtection="1">
      <alignment horizontal="center" vertical="center"/>
      <protection/>
    </xf>
    <xf numFmtId="169" fontId="19" fillId="0" borderId="32" xfId="0" applyNumberFormat="1" applyFont="1" applyFill="1" applyBorder="1" applyAlignment="1" applyProtection="1">
      <alignment horizontal="center" vertical="center"/>
      <protection/>
    </xf>
    <xf numFmtId="169" fontId="19" fillId="0" borderId="37" xfId="0" applyNumberFormat="1" applyFont="1" applyFill="1" applyBorder="1" applyAlignment="1" applyProtection="1">
      <alignment horizontal="center" vertical="center"/>
      <protection/>
    </xf>
    <xf numFmtId="169" fontId="19" fillId="0" borderId="47" xfId="0" applyNumberFormat="1" applyFont="1" applyFill="1" applyBorder="1" applyAlignment="1" applyProtection="1">
      <alignment horizontal="center" vertical="center"/>
      <protection/>
    </xf>
    <xf numFmtId="169" fontId="19" fillId="0" borderId="24" xfId="0" applyNumberFormat="1" applyFont="1" applyFill="1" applyBorder="1" applyAlignment="1" applyProtection="1">
      <alignment horizontal="center" vertical="center"/>
      <protection/>
    </xf>
    <xf numFmtId="169" fontId="19" fillId="0" borderId="0" xfId="0" applyNumberFormat="1" applyFont="1" applyFill="1" applyBorder="1" applyAlignment="1" applyProtection="1">
      <alignment horizontal="center" vertical="center"/>
      <protection/>
    </xf>
    <xf numFmtId="169" fontId="19" fillId="0" borderId="42" xfId="0" applyNumberFormat="1" applyFont="1" applyFill="1" applyBorder="1" applyAlignment="1" applyProtection="1">
      <alignment horizontal="center" vertical="center"/>
      <protection/>
    </xf>
    <xf numFmtId="169" fontId="19" fillId="0" borderId="32" xfId="1551" applyNumberFormat="1" applyFont="1" applyFill="1" applyBorder="1" applyAlignment="1">
      <alignment horizontal="center" vertical="center" wrapText="1"/>
      <protection/>
    </xf>
    <xf numFmtId="169" fontId="19" fillId="0" borderId="37" xfId="1551" applyNumberFormat="1" applyFont="1" applyFill="1" applyBorder="1" applyAlignment="1">
      <alignment horizontal="center" vertical="center" wrapText="1"/>
      <protection/>
    </xf>
    <xf numFmtId="169" fontId="19" fillId="0" borderId="47" xfId="1551" applyNumberFormat="1" applyFont="1" applyFill="1" applyBorder="1" applyAlignment="1">
      <alignment horizontal="center" vertical="center" wrapText="1"/>
      <protection/>
    </xf>
    <xf numFmtId="169" fontId="42" fillId="0" borderId="21" xfId="0" applyNumberFormat="1" applyFont="1" applyBorder="1" applyAlignment="1">
      <alignment horizontal="center" vertical="center"/>
    </xf>
    <xf numFmtId="169" fontId="42" fillId="0" borderId="23" xfId="0" applyNumberFormat="1" applyFont="1" applyBorder="1" applyAlignment="1">
      <alignment horizontal="center" vertical="center"/>
    </xf>
    <xf numFmtId="169" fontId="42" fillId="0" borderId="69" xfId="0" applyNumberFormat="1" applyFont="1" applyBorder="1" applyAlignment="1">
      <alignment horizontal="center" vertical="center"/>
    </xf>
    <xf numFmtId="169" fontId="19" fillId="0" borderId="25" xfId="0" applyNumberFormat="1" applyFont="1" applyFill="1" applyBorder="1" applyAlignment="1" applyProtection="1">
      <alignment horizontal="center" vertical="center"/>
      <protection/>
    </xf>
    <xf numFmtId="172" fontId="42" fillId="0" borderId="21" xfId="0" applyNumberFormat="1" applyFont="1" applyBorder="1" applyAlignment="1">
      <alignment horizontal="center" vertical="center"/>
    </xf>
    <xf numFmtId="172" fontId="42" fillId="0" borderId="23" xfId="0" applyNumberFormat="1" applyFont="1" applyBorder="1" applyAlignment="1">
      <alignment horizontal="center" vertical="center"/>
    </xf>
    <xf numFmtId="172" fontId="42" fillId="0" borderId="69" xfId="0" applyNumberFormat="1" applyFont="1" applyBorder="1" applyAlignment="1">
      <alignment horizontal="center" vertical="center"/>
    </xf>
    <xf numFmtId="172" fontId="0" fillId="0" borderId="24" xfId="1403" applyNumberFormat="1" applyFont="1" applyFill="1" applyBorder="1" applyAlignment="1">
      <alignment horizontal="center" vertical="center"/>
    </xf>
    <xf numFmtId="172" fontId="0" fillId="0" borderId="42" xfId="1403" applyNumberFormat="1" applyFont="1" applyFill="1" applyBorder="1" applyAlignment="1">
      <alignment horizontal="center" vertical="center"/>
    </xf>
    <xf numFmtId="173" fontId="0" fillId="0" borderId="32" xfId="1901" applyNumberFormat="1" applyFont="1" applyFill="1" applyBorder="1" applyAlignment="1">
      <alignment horizontal="center" vertical="center"/>
    </xf>
    <xf numFmtId="173" fontId="0" fillId="0" borderId="47" xfId="1901" applyNumberFormat="1" applyFont="1" applyFill="1" applyBorder="1" applyAlignment="1">
      <alignment horizontal="center" vertical="center"/>
    </xf>
    <xf numFmtId="172" fontId="0" fillId="0" borderId="26" xfId="1403" applyNumberFormat="1" applyFont="1" applyFill="1" applyBorder="1" applyAlignment="1">
      <alignment horizontal="center" vertical="center"/>
    </xf>
    <xf numFmtId="172" fontId="0" fillId="0" borderId="48" xfId="1403" applyNumberFormat="1" applyFont="1" applyFill="1" applyBorder="1" applyAlignment="1">
      <alignment horizontal="center" vertical="center"/>
    </xf>
    <xf numFmtId="175" fontId="0" fillId="0" borderId="0" xfId="0" applyNumberFormat="1" applyFont="1" applyFill="1" applyBorder="1" applyAlignment="1">
      <alignment horizontal="center" vertical="center"/>
    </xf>
    <xf numFmtId="175" fontId="0" fillId="0" borderId="42" xfId="0" applyNumberFormat="1" applyFont="1" applyFill="1" applyBorder="1" applyAlignment="1">
      <alignment horizontal="center" vertical="center"/>
    </xf>
    <xf numFmtId="175" fontId="19" fillId="0" borderId="25" xfId="0" applyNumberFormat="1" applyFont="1" applyFill="1" applyBorder="1" applyAlignment="1">
      <alignment horizontal="center" vertical="center"/>
    </xf>
    <xf numFmtId="175" fontId="19" fillId="0" borderId="26" xfId="0" applyNumberFormat="1" applyFont="1" applyFill="1" applyBorder="1" applyAlignment="1">
      <alignment horizontal="center" vertical="center"/>
    </xf>
    <xf numFmtId="175" fontId="19" fillId="0" borderId="48" xfId="0" applyNumberFormat="1" applyFont="1" applyFill="1" applyBorder="1" applyAlignment="1">
      <alignment horizontal="center" vertical="center"/>
    </xf>
    <xf numFmtId="10" fontId="24" fillId="0" borderId="0" xfId="0" applyNumberFormat="1" applyFont="1" applyFill="1" applyBorder="1" applyAlignment="1">
      <alignment horizontal="center" vertical="center" wrapText="1"/>
    </xf>
    <xf numFmtId="175" fontId="0" fillId="0" borderId="24" xfId="0" applyNumberFormat="1" applyFont="1" applyFill="1" applyBorder="1" applyAlignment="1">
      <alignment horizontal="center" vertical="center"/>
    </xf>
    <xf numFmtId="172" fontId="0" fillId="0" borderId="37" xfId="1403" applyNumberFormat="1" applyFont="1" applyFill="1" applyBorder="1" applyAlignment="1">
      <alignment horizontal="center" vertical="center"/>
    </xf>
    <xf numFmtId="172" fontId="0" fillId="0" borderId="47" xfId="1403" applyNumberFormat="1" applyFont="1" applyFill="1" applyBorder="1" applyAlignment="1">
      <alignment horizontal="center" vertical="center"/>
    </xf>
    <xf numFmtId="172" fontId="0" fillId="0" borderId="32" xfId="1403" applyNumberFormat="1" applyFont="1" applyFill="1" applyBorder="1" applyAlignment="1">
      <alignment horizontal="center" vertical="center"/>
    </xf>
    <xf numFmtId="172" fontId="0" fillId="0" borderId="25" xfId="1403" applyNumberFormat="1" applyFont="1" applyFill="1" applyBorder="1" applyAlignment="1">
      <alignment horizontal="center" vertical="center"/>
    </xf>
    <xf numFmtId="175" fontId="0" fillId="29" borderId="24" xfId="0" applyNumberFormat="1" applyFont="1" applyFill="1" applyBorder="1" applyAlignment="1">
      <alignment horizontal="center" vertical="center"/>
    </xf>
    <xf numFmtId="175" fontId="0" fillId="29" borderId="42" xfId="0" applyNumberFormat="1" applyFont="1" applyFill="1" applyBorder="1" applyAlignment="1">
      <alignment horizontal="center" vertical="center"/>
    </xf>
    <xf numFmtId="175" fontId="0" fillId="29" borderId="0" xfId="0" applyNumberFormat="1" applyFont="1" applyFill="1" applyBorder="1" applyAlignment="1">
      <alignment horizontal="center" vertical="center"/>
    </xf>
    <xf numFmtId="173" fontId="0" fillId="0" borderId="37" xfId="1901" applyNumberFormat="1" applyFont="1" applyFill="1" applyBorder="1" applyAlignment="1">
      <alignment horizontal="center" vertical="center"/>
    </xf>
    <xf numFmtId="9" fontId="0" fillId="0" borderId="32" xfId="1901" applyFont="1" applyFill="1" applyBorder="1" applyAlignment="1">
      <alignment horizontal="center" vertical="center"/>
    </xf>
    <xf numFmtId="9" fontId="0" fillId="0" borderId="24" xfId="1901" applyFont="1" applyFill="1" applyBorder="1" applyAlignment="1">
      <alignment horizontal="center" vertical="center"/>
    </xf>
    <xf numFmtId="9" fontId="0" fillId="0" borderId="25" xfId="1901" applyFont="1" applyFill="1" applyBorder="1" applyAlignment="1">
      <alignment horizontal="center" vertical="center"/>
    </xf>
    <xf numFmtId="0" fontId="19" fillId="47" borderId="26" xfId="0" applyFont="1" applyFill="1" applyBorder="1" applyAlignment="1">
      <alignment vertical="center"/>
    </xf>
    <xf numFmtId="168" fontId="0" fillId="0" borderId="33" xfId="1403" applyFont="1" applyFill="1" applyBorder="1" applyAlignment="1">
      <alignment horizontal="center" vertical="center"/>
    </xf>
    <xf numFmtId="168" fontId="0" fillId="0" borderId="43" xfId="1403" applyFont="1" applyFill="1" applyBorder="1" applyAlignment="1">
      <alignment horizontal="center" vertical="center"/>
    </xf>
    <xf numFmtId="168" fontId="0" fillId="0" borderId="34" xfId="1403" applyFont="1" applyFill="1" applyBorder="1" applyAlignment="1">
      <alignment horizontal="center" vertical="center"/>
    </xf>
    <xf numFmtId="175" fontId="19" fillId="0" borderId="33" xfId="0" applyNumberFormat="1" applyFont="1" applyFill="1" applyBorder="1" applyAlignment="1">
      <alignment vertical="center"/>
    </xf>
    <xf numFmtId="175" fontId="19" fillId="0" borderId="43" xfId="0" applyNumberFormat="1" applyFont="1" applyFill="1" applyBorder="1" applyAlignment="1">
      <alignment vertical="center"/>
    </xf>
    <xf numFmtId="1" fontId="19" fillId="0" borderId="33" xfId="0" applyNumberFormat="1" applyFont="1" applyFill="1" applyBorder="1" applyAlignment="1">
      <alignment horizontal="center" vertical="center"/>
    </xf>
    <xf numFmtId="1" fontId="19" fillId="0" borderId="43" xfId="0" applyNumberFormat="1" applyFont="1" applyFill="1" applyBorder="1" applyAlignment="1">
      <alignment horizontal="center" vertical="center"/>
    </xf>
    <xf numFmtId="1" fontId="19" fillId="0" borderId="34" xfId="0" applyNumberFormat="1" applyFont="1" applyFill="1" applyBorder="1" applyAlignment="1">
      <alignment horizontal="center" vertical="center"/>
    </xf>
    <xf numFmtId="175" fontId="19" fillId="0" borderId="34" xfId="0" applyNumberFormat="1" applyFont="1" applyFill="1" applyBorder="1" applyAlignment="1">
      <alignment vertical="center"/>
    </xf>
    <xf numFmtId="172" fontId="0" fillId="0" borderId="75" xfId="1403" applyNumberFormat="1" applyFont="1" applyFill="1" applyBorder="1" applyAlignment="1">
      <alignment horizontal="center" vertical="center"/>
    </xf>
    <xf numFmtId="172" fontId="0" fillId="0" borderId="76" xfId="1403" applyNumberFormat="1" applyFont="1" applyFill="1" applyBorder="1" applyAlignment="1">
      <alignment horizontal="center" vertical="center"/>
    </xf>
    <xf numFmtId="172" fontId="19" fillId="0" borderId="55" xfId="1403" applyNumberFormat="1" applyFont="1" applyFill="1" applyBorder="1" applyAlignment="1">
      <alignment horizontal="center" vertical="center"/>
    </xf>
    <xf numFmtId="172" fontId="19" fillId="0" borderId="77" xfId="1403" applyNumberFormat="1" applyFont="1" applyFill="1" applyBorder="1" applyAlignment="1">
      <alignment horizontal="center" vertical="center"/>
    </xf>
    <xf numFmtId="172" fontId="0" fillId="29" borderId="24" xfId="1403" applyNumberFormat="1" applyFont="1" applyFill="1" applyBorder="1" applyAlignment="1">
      <alignment horizontal="center" vertical="center"/>
    </xf>
    <xf numFmtId="172" fontId="0" fillId="29" borderId="42" xfId="1403" applyNumberFormat="1" applyFont="1" applyFill="1" applyBorder="1" applyAlignment="1">
      <alignment horizontal="center" vertical="center"/>
    </xf>
    <xf numFmtId="172" fontId="0" fillId="29" borderId="0" xfId="1403" applyNumberFormat="1" applyFont="1" applyFill="1" applyBorder="1" applyAlignment="1">
      <alignment horizontal="center" vertical="center"/>
    </xf>
    <xf numFmtId="9" fontId="0" fillId="0" borderId="24" xfId="1901" applyFont="1" applyFill="1" applyBorder="1" applyAlignment="1">
      <alignment horizontal="center" vertical="center"/>
    </xf>
    <xf numFmtId="9" fontId="0" fillId="0" borderId="0" xfId="1901" applyFont="1" applyFill="1" applyBorder="1" applyAlignment="1">
      <alignment horizontal="center" vertical="center"/>
    </xf>
    <xf numFmtId="49" fontId="19" fillId="0" borderId="32" xfId="0" applyNumberFormat="1" applyFont="1" applyFill="1" applyBorder="1" applyAlignment="1">
      <alignment horizontal="center" vertical="center"/>
    </xf>
    <xf numFmtId="49" fontId="19" fillId="0" borderId="47" xfId="0" applyNumberFormat="1" applyFont="1" applyFill="1" applyBorder="1" applyAlignment="1">
      <alignment horizontal="center" vertical="center"/>
    </xf>
    <xf numFmtId="0" fontId="0" fillId="0" borderId="24" xfId="0" applyBorder="1" applyAlignment="1">
      <alignment horizontal="center"/>
    </xf>
    <xf numFmtId="0" fontId="0" fillId="0" borderId="42" xfId="0" applyBorder="1" applyAlignment="1">
      <alignment horizontal="center"/>
    </xf>
    <xf numFmtId="175" fontId="19" fillId="0" borderId="43" xfId="0" applyNumberFormat="1" applyFont="1" applyFill="1" applyBorder="1" applyAlignment="1">
      <alignment horizontal="left" vertical="center"/>
    </xf>
    <xf numFmtId="175" fontId="19" fillId="0" borderId="34" xfId="0" applyNumberFormat="1" applyFont="1" applyFill="1" applyBorder="1" applyAlignment="1">
      <alignment horizontal="left" vertical="center"/>
    </xf>
    <xf numFmtId="0" fontId="19" fillId="0" borderId="78" xfId="0" applyFont="1" applyFill="1" applyBorder="1" applyAlignment="1">
      <alignment horizontal="center" vertical="center"/>
    </xf>
    <xf numFmtId="0" fontId="19" fillId="0" borderId="30" xfId="0" applyFont="1" applyFill="1" applyBorder="1" applyAlignment="1">
      <alignment horizontal="center" vertical="center"/>
    </xf>
    <xf numFmtId="174" fontId="19" fillId="0" borderId="78" xfId="0" applyNumberFormat="1" applyFont="1" applyFill="1" applyBorder="1" applyAlignment="1">
      <alignment horizontal="center" vertical="center"/>
    </xf>
    <xf numFmtId="174" fontId="19" fillId="0" borderId="30" xfId="0" applyNumberFormat="1" applyFont="1" applyFill="1" applyBorder="1" applyAlignment="1">
      <alignment horizontal="center" vertical="center"/>
    </xf>
    <xf numFmtId="10" fontId="19" fillId="0" borderId="65" xfId="0" applyNumberFormat="1" applyFont="1" applyFill="1" applyBorder="1" applyAlignment="1">
      <alignment horizontal="center" vertical="center"/>
    </xf>
    <xf numFmtId="10" fontId="19" fillId="0" borderId="79" xfId="0" applyNumberFormat="1" applyFont="1" applyFill="1" applyBorder="1" applyAlignment="1">
      <alignment horizontal="center" vertical="center"/>
    </xf>
    <xf numFmtId="1" fontId="19" fillId="0" borderId="29" xfId="0" applyNumberFormat="1" applyFont="1" applyFill="1" applyBorder="1" applyAlignment="1">
      <alignment horizontal="center" vertical="center"/>
    </xf>
    <xf numFmtId="1" fontId="19" fillId="0" borderId="80" xfId="0" applyNumberFormat="1" applyFont="1" applyFill="1" applyBorder="1" applyAlignment="1">
      <alignment horizontal="center" vertical="center"/>
    </xf>
    <xf numFmtId="175" fontId="19" fillId="0" borderId="54" xfId="0" applyNumberFormat="1" applyFont="1" applyFill="1" applyBorder="1" applyAlignment="1">
      <alignment horizontal="left" vertical="center"/>
    </xf>
    <xf numFmtId="175" fontId="19" fillId="0" borderId="81" xfId="0" applyNumberFormat="1" applyFont="1" applyFill="1" applyBorder="1" applyAlignment="1">
      <alignment horizontal="left" vertical="center"/>
    </xf>
    <xf numFmtId="168" fontId="0" fillId="0" borderId="29" xfId="1403" applyFont="1" applyFill="1" applyBorder="1" applyAlignment="1">
      <alignment horizontal="center" vertical="center"/>
    </xf>
    <xf numFmtId="168" fontId="0" fillId="0" borderId="80" xfId="1403" applyFont="1" applyFill="1" applyBorder="1" applyAlignment="1">
      <alignment horizontal="center" vertical="center"/>
    </xf>
    <xf numFmtId="9" fontId="0" fillId="0" borderId="75" xfId="1901" applyFont="1" applyFill="1" applyBorder="1" applyAlignment="1">
      <alignment horizontal="center" vertical="center"/>
    </xf>
    <xf numFmtId="9" fontId="0" fillId="0" borderId="82" xfId="1901" applyFont="1" applyFill="1" applyBorder="1" applyAlignment="1">
      <alignment horizontal="center" vertical="center"/>
    </xf>
    <xf numFmtId="168" fontId="0" fillId="0" borderId="30" xfId="1403" applyFont="1" applyFill="1" applyBorder="1" applyAlignment="1">
      <alignment horizontal="center" vertical="center"/>
    </xf>
    <xf numFmtId="9" fontId="0" fillId="0" borderId="79" xfId="1901" applyFont="1" applyFill="1" applyBorder="1" applyAlignment="1">
      <alignment horizontal="center"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49" xfId="0" applyFont="1" applyFill="1" applyBorder="1" applyAlignment="1">
      <alignment horizontal="center" vertical="center"/>
    </xf>
    <xf numFmtId="1" fontId="19" fillId="0" borderId="78" xfId="0" applyNumberFormat="1" applyFont="1" applyFill="1" applyBorder="1" applyAlignment="1">
      <alignment horizontal="center" vertical="center"/>
    </xf>
    <xf numFmtId="1" fontId="19" fillId="0" borderId="30" xfId="0" applyNumberFormat="1" applyFont="1" applyFill="1" applyBorder="1" applyAlignment="1">
      <alignment horizontal="center" vertical="center"/>
    </xf>
    <xf numFmtId="175" fontId="19" fillId="0" borderId="29" xfId="0" applyNumberFormat="1" applyFont="1" applyFill="1" applyBorder="1" applyAlignment="1">
      <alignment horizontal="left" vertical="center"/>
    </xf>
    <xf numFmtId="175" fontId="19" fillId="0" borderId="80" xfId="0" applyNumberFormat="1" applyFont="1" applyFill="1" applyBorder="1" applyAlignment="1">
      <alignment horizontal="left" vertical="center"/>
    </xf>
    <xf numFmtId="175" fontId="19" fillId="0" borderId="30" xfId="0" applyNumberFormat="1" applyFont="1" applyFill="1" applyBorder="1" applyAlignment="1">
      <alignment horizontal="left" vertical="center"/>
    </xf>
    <xf numFmtId="175" fontId="19" fillId="0" borderId="33" xfId="0" applyNumberFormat="1" applyFont="1" applyFill="1" applyBorder="1" applyAlignment="1">
      <alignment horizontal="left" vertical="center"/>
    </xf>
    <xf numFmtId="9" fontId="0" fillId="0" borderId="83" xfId="1901" applyFont="1" applyFill="1" applyBorder="1" applyAlignment="1">
      <alignment horizontal="center" vertical="center"/>
    </xf>
  </cellXfs>
  <cellStyles count="2369">
    <cellStyle name="Normal" xfId="0"/>
    <cellStyle name="_0000_Ag_Prata_MG_LM" xfId="15"/>
    <cellStyle name="_0153605_Ag_Camaquã_RS_LM" xfId="16"/>
    <cellStyle name="_1131_31_Ag_Pinheirinho_PR_LM" xfId="17"/>
    <cellStyle name="_125_morumbi" xfId="18"/>
    <cellStyle name="_134201_Ag. Passarela Pr_ LM" xfId="19"/>
    <cellStyle name="_Cópia de mapa 032_gol" xfId="20"/>
    <cellStyle name="_mapa 032_gol_rev01" xfId="21"/>
    <cellStyle name="_mapa fleury-rev2.doc" xfId="22"/>
    <cellStyle name="_mapa fleury-rev2.doc_Ed Palmares_142_contrato" xfId="23"/>
    <cellStyle name="_mapa fleury-rev2.doc_Ed Palmares_142_contrato_PLANILHA QUANTITATIVA ELÉTRICA - R00" xfId="24"/>
    <cellStyle name="_mapa padrão 134_rev3" xfId="25"/>
    <cellStyle name="_mapa_093_rev09" xfId="26"/>
    <cellStyle name="0,0&#13;&#10;NA&#13;&#10;" xfId="27"/>
    <cellStyle name="0,0&#13;&#10;NA&#13;&#10; 10 2" xfId="28"/>
    <cellStyle name="0,0&#13;&#10;NA&#13;&#10; 2 2" xfId="29"/>
    <cellStyle name="0,0&#13;&#10;NA&#13;&#10;_ORÇAMENTO UTILIDADES - SNR - interno" xfId="30"/>
    <cellStyle name="12" xfId="31"/>
    <cellStyle name="20% - Accent1" xfId="32"/>
    <cellStyle name="20% - Accent1 2" xfId="33"/>
    <cellStyle name="20% - Accent1 2 2" xfId="34"/>
    <cellStyle name="20% - Accent1 2 3" xfId="35"/>
    <cellStyle name="20% - Accent1 2 4" xfId="36"/>
    <cellStyle name="20% - Accent1 2 5" xfId="37"/>
    <cellStyle name="20% - Accent1 3" xfId="38"/>
    <cellStyle name="20% - Accent1 4" xfId="39"/>
    <cellStyle name="20% - Accent1 5" xfId="40"/>
    <cellStyle name="20% - Accent1 6" xfId="41"/>
    <cellStyle name="20% - Accent1 7" xfId="42"/>
    <cellStyle name="20% - Accent1_135-11-SNR-Planilha de Quantitativos e Serviços" xfId="43"/>
    <cellStyle name="20% - Accent2" xfId="44"/>
    <cellStyle name="20% - Accent2 2" xfId="45"/>
    <cellStyle name="20% - Accent2 2 2" xfId="46"/>
    <cellStyle name="20% - Accent2 2 3" xfId="47"/>
    <cellStyle name="20% - Accent2 2 4" xfId="48"/>
    <cellStyle name="20% - Accent2 2 5" xfId="49"/>
    <cellStyle name="20% - Accent2 3" xfId="50"/>
    <cellStyle name="20% - Accent2 4" xfId="51"/>
    <cellStyle name="20% - Accent2 5" xfId="52"/>
    <cellStyle name="20% - Accent2 6" xfId="53"/>
    <cellStyle name="20% - Accent2 7" xfId="54"/>
    <cellStyle name="20% - Accent2_135-11-SNR-Planilha de Quantitativos e Serviços" xfId="55"/>
    <cellStyle name="20% - Accent3" xfId="56"/>
    <cellStyle name="20% - Accent3 2" xfId="57"/>
    <cellStyle name="20% - Accent3 2 2" xfId="58"/>
    <cellStyle name="20% - Accent3 2 3" xfId="59"/>
    <cellStyle name="20% - Accent3 2 4" xfId="60"/>
    <cellStyle name="20% - Accent3 2 5" xfId="61"/>
    <cellStyle name="20% - Accent3 3" xfId="62"/>
    <cellStyle name="20% - Accent3 3 2" xfId="63"/>
    <cellStyle name="20% - Accent3 3 3" xfId="64"/>
    <cellStyle name="20% - Accent3 3 4" xfId="65"/>
    <cellStyle name="20% - Accent3 4" xfId="66"/>
    <cellStyle name="20% - Accent3 5" xfId="67"/>
    <cellStyle name="20% - Accent3 6" xfId="68"/>
    <cellStyle name="20% - Accent3 7" xfId="69"/>
    <cellStyle name="20% - Accent3_135-11-SNR-Planilha de Quantitativos e Serviços" xfId="70"/>
    <cellStyle name="20% - Accent4" xfId="71"/>
    <cellStyle name="20% - Accent4 2" xfId="72"/>
    <cellStyle name="20% - Accent4 2 2" xfId="73"/>
    <cellStyle name="20% - Accent4 2 3" xfId="74"/>
    <cellStyle name="20% - Accent4 2 4" xfId="75"/>
    <cellStyle name="20% - Accent4 2 5" xfId="76"/>
    <cellStyle name="20% - Accent4 3" xfId="77"/>
    <cellStyle name="20% - Accent4 4" xfId="78"/>
    <cellStyle name="20% - Accent4 5" xfId="79"/>
    <cellStyle name="20% - Accent4 6" xfId="80"/>
    <cellStyle name="20% - Accent4 7" xfId="81"/>
    <cellStyle name="20% - Accent4_135-11-SNR-Planilha de Quantitativos e Serviços" xfId="82"/>
    <cellStyle name="20% - Accent5" xfId="83"/>
    <cellStyle name="20% - Accent5 2" xfId="84"/>
    <cellStyle name="20% - Accent5 2 2" xfId="85"/>
    <cellStyle name="20% - Accent5 2 3" xfId="86"/>
    <cellStyle name="20% - Accent5 2 4" xfId="87"/>
    <cellStyle name="20% - Accent5 2 5" xfId="88"/>
    <cellStyle name="20% - Accent5 3" xfId="89"/>
    <cellStyle name="20% - Accent5 4" xfId="90"/>
    <cellStyle name="20% - Accent5 5" xfId="91"/>
    <cellStyle name="20% - Accent5 6" xfId="92"/>
    <cellStyle name="20% - Accent5 7" xfId="93"/>
    <cellStyle name="20% - Accent6" xfId="94"/>
    <cellStyle name="20% - Accent6 2" xfId="95"/>
    <cellStyle name="20% - Accent6 2 2" xfId="96"/>
    <cellStyle name="20% - Accent6 2 3" xfId="97"/>
    <cellStyle name="20% - Accent6 2 4" xfId="98"/>
    <cellStyle name="20% - Accent6 2 5" xfId="99"/>
    <cellStyle name="20% - Accent6 3" xfId="100"/>
    <cellStyle name="20% - Accent6 4" xfId="101"/>
    <cellStyle name="20% - Accent6 5" xfId="102"/>
    <cellStyle name="20% - Accent6 6" xfId="103"/>
    <cellStyle name="20% - Accent6 7" xfId="104"/>
    <cellStyle name="20% - Accent6_135-11-SNR-Planilha de Quantitativos e Serviços" xfId="105"/>
    <cellStyle name="20% - Ênfase1" xfId="106"/>
    <cellStyle name="20% - Ênfase1 2" xfId="107"/>
    <cellStyle name="20% - Ênfase1 2 2" xfId="108"/>
    <cellStyle name="20% - Ênfase1 2 2 2" xfId="109"/>
    <cellStyle name="20% - Ênfase1 2 2 3" xfId="110"/>
    <cellStyle name="20% - Ênfase1 2 2 4" xfId="111"/>
    <cellStyle name="20% - Ênfase1 2 3" xfId="112"/>
    <cellStyle name="20% - Ênfase1 2 4" xfId="113"/>
    <cellStyle name="20% - Ênfase1 2 5" xfId="114"/>
    <cellStyle name="20% - Ênfase1 2 6" xfId="115"/>
    <cellStyle name="20% - Ênfase1 2 7" xfId="116"/>
    <cellStyle name="20% - Ênfase1 2 8" xfId="117"/>
    <cellStyle name="20% - Ênfase1 2 9" xfId="118"/>
    <cellStyle name="20% - Ênfase1 3" xfId="119"/>
    <cellStyle name="20% - Ênfase1 3 2" xfId="120"/>
    <cellStyle name="20% - Ênfase1 3 2 2" xfId="121"/>
    <cellStyle name="20% - Ênfase1 3 3" xfId="122"/>
    <cellStyle name="20% - Ênfase1 3 4" xfId="123"/>
    <cellStyle name="20% - Ênfase1 3 5" xfId="124"/>
    <cellStyle name="20% - Ênfase1 3 6" xfId="125"/>
    <cellStyle name="20% - Ênfase1 3 7" xfId="126"/>
    <cellStyle name="20% - Ênfase1 3 8" xfId="127"/>
    <cellStyle name="20% - Ênfase1 4" xfId="128"/>
    <cellStyle name="20% - Ênfase1 4 2" xfId="129"/>
    <cellStyle name="20% - Ênfase1 4 3" xfId="130"/>
    <cellStyle name="20% - Ênfase1 4 4" xfId="131"/>
    <cellStyle name="20% - Ênfase1 4 5" xfId="132"/>
    <cellStyle name="20% - Ênfase1 5" xfId="133"/>
    <cellStyle name="20% - Ênfase1 5 2" xfId="134"/>
    <cellStyle name="20% - Ênfase1 5 3" xfId="135"/>
    <cellStyle name="20% - Ênfase1 5 4" xfId="136"/>
    <cellStyle name="20% - Ênfase1 5 5" xfId="137"/>
    <cellStyle name="20% - Ênfase1 6" xfId="138"/>
    <cellStyle name="20% - Ênfase1 7" xfId="139"/>
    <cellStyle name="20% - Ênfase1 8" xfId="140"/>
    <cellStyle name="20% - Ênfase2" xfId="141"/>
    <cellStyle name="20% - Ênfase2 2" xfId="142"/>
    <cellStyle name="20% - Ênfase2 2 2" xfId="143"/>
    <cellStyle name="20% - Ênfase2 2 2 2" xfId="144"/>
    <cellStyle name="20% - Ênfase2 2 2 3" xfId="145"/>
    <cellStyle name="20% - Ênfase2 2 2 4" xfId="146"/>
    <cellStyle name="20% - Ênfase2 2 3" xfId="147"/>
    <cellStyle name="20% - Ênfase2 2 4" xfId="148"/>
    <cellStyle name="20% - Ênfase2 2 5" xfId="149"/>
    <cellStyle name="20% - Ênfase2 2 6" xfId="150"/>
    <cellStyle name="20% - Ênfase2 2 7" xfId="151"/>
    <cellStyle name="20% - Ênfase2 2 8" xfId="152"/>
    <cellStyle name="20% - Ênfase2 2 9" xfId="153"/>
    <cellStyle name="20% - Ênfase2 3" xfId="154"/>
    <cellStyle name="20% - Ênfase2 3 2" xfId="155"/>
    <cellStyle name="20% - Ênfase2 3 2 2" xfId="156"/>
    <cellStyle name="20% - Ênfase2 3 3" xfId="157"/>
    <cellStyle name="20% - Ênfase2 3 4" xfId="158"/>
    <cellStyle name="20% - Ênfase2 3 5" xfId="159"/>
    <cellStyle name="20% - Ênfase2 3 6" xfId="160"/>
    <cellStyle name="20% - Ênfase2 3 7" xfId="161"/>
    <cellStyle name="20% - Ênfase2 3 8" xfId="162"/>
    <cellStyle name="20% - Ênfase2 4" xfId="163"/>
    <cellStyle name="20% - Ênfase2 4 2" xfId="164"/>
    <cellStyle name="20% - Ênfase2 4 3" xfId="165"/>
    <cellStyle name="20% - Ênfase2 4 4" xfId="166"/>
    <cellStyle name="20% - Ênfase2 4 5" xfId="167"/>
    <cellStyle name="20% - Ênfase2 5" xfId="168"/>
    <cellStyle name="20% - Ênfase2 5 2" xfId="169"/>
    <cellStyle name="20% - Ênfase2 5 3" xfId="170"/>
    <cellStyle name="20% - Ênfase2 5 4" xfId="171"/>
    <cellStyle name="20% - Ênfase2 5 5" xfId="172"/>
    <cellStyle name="20% - Ênfase2 6" xfId="173"/>
    <cellStyle name="20% - Ênfase2 7" xfId="174"/>
    <cellStyle name="20% - Ênfase2 8" xfId="175"/>
    <cellStyle name="20% - Ênfase3" xfId="176"/>
    <cellStyle name="20% - Ênfase3 2" xfId="177"/>
    <cellStyle name="20% - Ênfase3 2 2" xfId="178"/>
    <cellStyle name="20% - Ênfase3 2 2 2" xfId="179"/>
    <cellStyle name="20% - Ênfase3 2 2 3" xfId="180"/>
    <cellStyle name="20% - Ênfase3 2 2 4" xfId="181"/>
    <cellStyle name="20% - Ênfase3 2 3" xfId="182"/>
    <cellStyle name="20% - Ênfase3 2 4" xfId="183"/>
    <cellStyle name="20% - Ênfase3 2 5" xfId="184"/>
    <cellStyle name="20% - Ênfase3 2 6" xfId="185"/>
    <cellStyle name="20% - Ênfase3 2 7" xfId="186"/>
    <cellStyle name="20% - Ênfase3 2 8" xfId="187"/>
    <cellStyle name="20% - Ênfase3 2 9" xfId="188"/>
    <cellStyle name="20% - Ênfase3 3" xfId="189"/>
    <cellStyle name="20% - Ênfase3 3 2" xfId="190"/>
    <cellStyle name="20% - Ênfase3 3 2 2" xfId="191"/>
    <cellStyle name="20% - Ênfase3 3 3" xfId="192"/>
    <cellStyle name="20% - Ênfase3 3 4" xfId="193"/>
    <cellStyle name="20% - Ênfase3 3 5" xfId="194"/>
    <cellStyle name="20% - Ênfase3 3 6" xfId="195"/>
    <cellStyle name="20% - Ênfase3 3 7" xfId="196"/>
    <cellStyle name="20% - Ênfase3 3 8" xfId="197"/>
    <cellStyle name="20% - Ênfase3 4" xfId="198"/>
    <cellStyle name="20% - Ênfase3 4 2" xfId="199"/>
    <cellStyle name="20% - Ênfase3 4 3" xfId="200"/>
    <cellStyle name="20% - Ênfase3 4 4" xfId="201"/>
    <cellStyle name="20% - Ênfase3 4 5" xfId="202"/>
    <cellStyle name="20% - Ênfase3 5" xfId="203"/>
    <cellStyle name="20% - Ênfase3 5 2" xfId="204"/>
    <cellStyle name="20% - Ênfase3 5 3" xfId="205"/>
    <cellStyle name="20% - Ênfase3 5 4" xfId="206"/>
    <cellStyle name="20% - Ênfase3 5 5" xfId="207"/>
    <cellStyle name="20% - Ênfase3 6" xfId="208"/>
    <cellStyle name="20% - Ênfase3 7" xfId="209"/>
    <cellStyle name="20% - Ênfase3 8" xfId="210"/>
    <cellStyle name="20% - Ênfase4" xfId="211"/>
    <cellStyle name="20% - Ênfase4 2" xfId="212"/>
    <cellStyle name="20% - Ênfase4 2 2" xfId="213"/>
    <cellStyle name="20% - Ênfase4 2 2 2" xfId="214"/>
    <cellStyle name="20% - Ênfase4 2 2 3" xfId="215"/>
    <cellStyle name="20% - Ênfase4 2 2 4" xfId="216"/>
    <cellStyle name="20% - Ênfase4 2 3" xfId="217"/>
    <cellStyle name="20% - Ênfase4 2 4" xfId="218"/>
    <cellStyle name="20% - Ênfase4 2 5" xfId="219"/>
    <cellStyle name="20% - Ênfase4 2 6" xfId="220"/>
    <cellStyle name="20% - Ênfase4 2 7" xfId="221"/>
    <cellStyle name="20% - Ênfase4 2 8" xfId="222"/>
    <cellStyle name="20% - Ênfase4 2 9" xfId="223"/>
    <cellStyle name="20% - Ênfase4 3" xfId="224"/>
    <cellStyle name="20% - Ênfase4 3 2" xfId="225"/>
    <cellStyle name="20% - Ênfase4 3 2 2" xfId="226"/>
    <cellStyle name="20% - Ênfase4 3 3" xfId="227"/>
    <cellStyle name="20% - Ênfase4 3 4" xfId="228"/>
    <cellStyle name="20% - Ênfase4 3 5" xfId="229"/>
    <cellStyle name="20% - Ênfase4 3 6" xfId="230"/>
    <cellStyle name="20% - Ênfase4 3 7" xfId="231"/>
    <cellStyle name="20% - Ênfase4 3 8" xfId="232"/>
    <cellStyle name="20% - Ênfase4 4" xfId="233"/>
    <cellStyle name="20% - Ênfase4 4 2" xfId="234"/>
    <cellStyle name="20% - Ênfase4 4 3" xfId="235"/>
    <cellStyle name="20% - Ênfase4 4 4" xfId="236"/>
    <cellStyle name="20% - Ênfase4 4 5" xfId="237"/>
    <cellStyle name="20% - Ênfase4 5" xfId="238"/>
    <cellStyle name="20% - Ênfase4 5 2" xfId="239"/>
    <cellStyle name="20% - Ênfase4 5 3" xfId="240"/>
    <cellStyle name="20% - Ênfase4 5 4" xfId="241"/>
    <cellStyle name="20% - Ênfase4 5 5" xfId="242"/>
    <cellStyle name="20% - Ênfase4 6" xfId="243"/>
    <cellStyle name="20% - Ênfase4 7" xfId="244"/>
    <cellStyle name="20% - Ênfase4 8" xfId="245"/>
    <cellStyle name="20% - Ênfase5" xfId="246"/>
    <cellStyle name="20% - Ênfase5 2" xfId="247"/>
    <cellStyle name="20% - Ênfase5 2 2" xfId="248"/>
    <cellStyle name="20% - Ênfase5 2 2 2" xfId="249"/>
    <cellStyle name="20% - Ênfase5 2 2 3" xfId="250"/>
    <cellStyle name="20% - Ênfase5 2 2 4" xfId="251"/>
    <cellStyle name="20% - Ênfase5 2 3" xfId="252"/>
    <cellStyle name="20% - Ênfase5 2 4" xfId="253"/>
    <cellStyle name="20% - Ênfase5 2 5" xfId="254"/>
    <cellStyle name="20% - Ênfase5 2 6" xfId="255"/>
    <cellStyle name="20% - Ênfase5 2 7" xfId="256"/>
    <cellStyle name="20% - Ênfase5 2 8" xfId="257"/>
    <cellStyle name="20% - Ênfase5 2 9" xfId="258"/>
    <cellStyle name="20% - Ênfase5 3" xfId="259"/>
    <cellStyle name="20% - Ênfase5 3 2" xfId="260"/>
    <cellStyle name="20% - Ênfase5 3 3" xfId="261"/>
    <cellStyle name="20% - Ênfase5 3 4" xfId="262"/>
    <cellStyle name="20% - Ênfase5 3 5" xfId="263"/>
    <cellStyle name="20% - Ênfase5 4" xfId="264"/>
    <cellStyle name="20% - Ênfase5 4 2" xfId="265"/>
    <cellStyle name="20% - Ênfase5 4 3" xfId="266"/>
    <cellStyle name="20% - Ênfase5 4 4" xfId="267"/>
    <cellStyle name="20% - Ênfase5 4 5" xfId="268"/>
    <cellStyle name="20% - Ênfase5 5" xfId="269"/>
    <cellStyle name="20% - Ênfase5 5 2" xfId="270"/>
    <cellStyle name="20% - Ênfase5 5 3" xfId="271"/>
    <cellStyle name="20% - Ênfase5 5 4" xfId="272"/>
    <cellStyle name="20% - Ênfase5 5 5" xfId="273"/>
    <cellStyle name="20% - Ênfase5 6" xfId="274"/>
    <cellStyle name="20% - Ênfase5 7" xfId="275"/>
    <cellStyle name="20% - Ênfase5 8" xfId="276"/>
    <cellStyle name="20% - Ênfase6" xfId="277"/>
    <cellStyle name="20% - Ênfase6 2" xfId="278"/>
    <cellStyle name="20% - Ênfase6 2 2" xfId="279"/>
    <cellStyle name="20% - Ênfase6 2 2 2" xfId="280"/>
    <cellStyle name="20% - Ênfase6 2 2 3" xfId="281"/>
    <cellStyle name="20% - Ênfase6 2 2 4" xfId="282"/>
    <cellStyle name="20% - Ênfase6 2 3" xfId="283"/>
    <cellStyle name="20% - Ênfase6 2 4" xfId="284"/>
    <cellStyle name="20% - Ênfase6 2 5" xfId="285"/>
    <cellStyle name="20% - Ênfase6 2 6" xfId="286"/>
    <cellStyle name="20% - Ênfase6 2 7" xfId="287"/>
    <cellStyle name="20% - Ênfase6 2 8" xfId="288"/>
    <cellStyle name="20% - Ênfase6 2 9" xfId="289"/>
    <cellStyle name="20% - Ênfase6 3" xfId="290"/>
    <cellStyle name="20% - Ênfase6 3 2" xfId="291"/>
    <cellStyle name="20% - Ênfase6 3 3" xfId="292"/>
    <cellStyle name="20% - Ênfase6 3 4" xfId="293"/>
    <cellStyle name="20% - Ênfase6 3 5" xfId="294"/>
    <cellStyle name="20% - Ênfase6 4" xfId="295"/>
    <cellStyle name="20% - Ênfase6 4 2" xfId="296"/>
    <cellStyle name="20% - Ênfase6 4 3" xfId="297"/>
    <cellStyle name="20% - Ênfase6 4 4" xfId="298"/>
    <cellStyle name="20% - Ênfase6 4 5" xfId="299"/>
    <cellStyle name="20% - Ênfase6 5" xfId="300"/>
    <cellStyle name="20% - Ênfase6 5 2" xfId="301"/>
    <cellStyle name="20% - Ênfase6 5 3" xfId="302"/>
    <cellStyle name="20% - Ênfase6 5 4" xfId="303"/>
    <cellStyle name="20% - Ênfase6 5 5" xfId="304"/>
    <cellStyle name="20% - Ênfase6 6" xfId="305"/>
    <cellStyle name="20% - Ênfase6 7" xfId="306"/>
    <cellStyle name="20% - Ênfase6 8" xfId="307"/>
    <cellStyle name="40% - Accent1" xfId="308"/>
    <cellStyle name="40% - Accent1 2" xfId="309"/>
    <cellStyle name="40% - Accent1 2 2" xfId="310"/>
    <cellStyle name="40% - Accent1 2 3" xfId="311"/>
    <cellStyle name="40% - Accent1 2 4" xfId="312"/>
    <cellStyle name="40% - Accent1 2 5" xfId="313"/>
    <cellStyle name="40% - Accent1 3" xfId="314"/>
    <cellStyle name="40% - Accent1 4" xfId="315"/>
    <cellStyle name="40% - Accent1 5" xfId="316"/>
    <cellStyle name="40% - Accent1 6" xfId="317"/>
    <cellStyle name="40% - Accent1 7" xfId="318"/>
    <cellStyle name="40% - Accent1_135-11-SNR-Planilha de Quantitativos e Serviços" xfId="319"/>
    <cellStyle name="40% - Accent2" xfId="320"/>
    <cellStyle name="40% - Accent2 2" xfId="321"/>
    <cellStyle name="40% - Accent2 2 2" xfId="322"/>
    <cellStyle name="40% - Accent2 2 3" xfId="323"/>
    <cellStyle name="40% - Accent2 2 4" xfId="324"/>
    <cellStyle name="40% - Accent2 2 5" xfId="325"/>
    <cellStyle name="40% - Accent2 3" xfId="326"/>
    <cellStyle name="40% - Accent2 4" xfId="327"/>
    <cellStyle name="40% - Accent2 5" xfId="328"/>
    <cellStyle name="40% - Accent2 6" xfId="329"/>
    <cellStyle name="40% - Accent2 7" xfId="330"/>
    <cellStyle name="40% - Accent3" xfId="331"/>
    <cellStyle name="40% - Accent3 2" xfId="332"/>
    <cellStyle name="40% - Accent3 2 2" xfId="333"/>
    <cellStyle name="40% - Accent3 2 3" xfId="334"/>
    <cellStyle name="40% - Accent3 2 4" xfId="335"/>
    <cellStyle name="40% - Accent3 2 5" xfId="336"/>
    <cellStyle name="40% - Accent3 3" xfId="337"/>
    <cellStyle name="40% - Accent3 4" xfId="338"/>
    <cellStyle name="40% - Accent3 5" xfId="339"/>
    <cellStyle name="40% - Accent3 6" xfId="340"/>
    <cellStyle name="40% - Accent3 7" xfId="341"/>
    <cellStyle name="40% - Accent3_135-11-SNR-Planilha de Quantitativos e Serviços" xfId="342"/>
    <cellStyle name="40% - Accent4" xfId="343"/>
    <cellStyle name="40% - Accent4 2" xfId="344"/>
    <cellStyle name="40% - Accent4 2 2" xfId="345"/>
    <cellStyle name="40% - Accent4 2 3" xfId="346"/>
    <cellStyle name="40% - Accent4 2 4" xfId="347"/>
    <cellStyle name="40% - Accent4 2 5" xfId="348"/>
    <cellStyle name="40% - Accent4 3" xfId="349"/>
    <cellStyle name="40% - Accent4 4" xfId="350"/>
    <cellStyle name="40% - Accent4 5" xfId="351"/>
    <cellStyle name="40% - Accent4 6" xfId="352"/>
    <cellStyle name="40% - Accent4 7" xfId="353"/>
    <cellStyle name="40% - Accent4_135-11-SNR-Planilha de Quantitativos e Serviços" xfId="354"/>
    <cellStyle name="40% - Accent5" xfId="355"/>
    <cellStyle name="40% - Accent5 2" xfId="356"/>
    <cellStyle name="40% - Accent5 2 2" xfId="357"/>
    <cellStyle name="40% - Accent5 2 3" xfId="358"/>
    <cellStyle name="40% - Accent5 2 4" xfId="359"/>
    <cellStyle name="40% - Accent5 2 5" xfId="360"/>
    <cellStyle name="40% - Accent5 3" xfId="361"/>
    <cellStyle name="40% - Accent5 4" xfId="362"/>
    <cellStyle name="40% - Accent5 5" xfId="363"/>
    <cellStyle name="40% - Accent5 6" xfId="364"/>
    <cellStyle name="40% - Accent5 7" xfId="365"/>
    <cellStyle name="40% - Accent5_135-11-SNR-Planilha de Quantitativos e Serviços" xfId="366"/>
    <cellStyle name="40% - Accent6" xfId="367"/>
    <cellStyle name="40% - Accent6 2" xfId="368"/>
    <cellStyle name="40% - Accent6 2 2" xfId="369"/>
    <cellStyle name="40% - Accent6 2 3" xfId="370"/>
    <cellStyle name="40% - Accent6 2 4" xfId="371"/>
    <cellStyle name="40% - Accent6 2 5" xfId="372"/>
    <cellStyle name="40% - Accent6 3" xfId="373"/>
    <cellStyle name="40% - Accent6 4" xfId="374"/>
    <cellStyle name="40% - Accent6 5" xfId="375"/>
    <cellStyle name="40% - Accent6 6" xfId="376"/>
    <cellStyle name="40% - Accent6 7" xfId="377"/>
    <cellStyle name="40% - Accent6_135-11-SNR-Planilha de Quantitativos e Serviços" xfId="378"/>
    <cellStyle name="40% - Ênfase1" xfId="379"/>
    <cellStyle name="40% - Ênfase1 2" xfId="380"/>
    <cellStyle name="40% - Ênfase1 2 2" xfId="381"/>
    <cellStyle name="40% - Ênfase1 2 2 2" xfId="382"/>
    <cellStyle name="40% - Ênfase1 2 2 3" xfId="383"/>
    <cellStyle name="40% - Ênfase1 2 2 4" xfId="384"/>
    <cellStyle name="40% - Ênfase1 2 3" xfId="385"/>
    <cellStyle name="40% - Ênfase1 2 4" xfId="386"/>
    <cellStyle name="40% - Ênfase1 2 5" xfId="387"/>
    <cellStyle name="40% - Ênfase1 2 6" xfId="388"/>
    <cellStyle name="40% - Ênfase1 2 7" xfId="389"/>
    <cellStyle name="40% - Ênfase1 2 8" xfId="390"/>
    <cellStyle name="40% - Ênfase1 2 9" xfId="391"/>
    <cellStyle name="40% - Ênfase1 3" xfId="392"/>
    <cellStyle name="40% - Ênfase1 3 2" xfId="393"/>
    <cellStyle name="40% - Ênfase1 3 2 2" xfId="394"/>
    <cellStyle name="40% - Ênfase1 3 3" xfId="395"/>
    <cellStyle name="40% - Ênfase1 3 4" xfId="396"/>
    <cellStyle name="40% - Ênfase1 3 5" xfId="397"/>
    <cellStyle name="40% - Ênfase1 3 6" xfId="398"/>
    <cellStyle name="40% - Ênfase1 3 7" xfId="399"/>
    <cellStyle name="40% - Ênfase1 3 8" xfId="400"/>
    <cellStyle name="40% - Ênfase1 4" xfId="401"/>
    <cellStyle name="40% - Ênfase1 4 2" xfId="402"/>
    <cellStyle name="40% - Ênfase1 4 3" xfId="403"/>
    <cellStyle name="40% - Ênfase1 4 4" xfId="404"/>
    <cellStyle name="40% - Ênfase1 4 5" xfId="405"/>
    <cellStyle name="40% - Ênfase1 5" xfId="406"/>
    <cellStyle name="40% - Ênfase1 5 2" xfId="407"/>
    <cellStyle name="40% - Ênfase1 5 3" xfId="408"/>
    <cellStyle name="40% - Ênfase1 5 4" xfId="409"/>
    <cellStyle name="40% - Ênfase1 5 5" xfId="410"/>
    <cellStyle name="40% - Ênfase1 6" xfId="411"/>
    <cellStyle name="40% - Ênfase1 7" xfId="412"/>
    <cellStyle name="40% - Ênfase1 8" xfId="413"/>
    <cellStyle name="40% - Ênfase2" xfId="414"/>
    <cellStyle name="40% - Ênfase2 2" xfId="415"/>
    <cellStyle name="40% - Ênfase2 2 2" xfId="416"/>
    <cellStyle name="40% - Ênfase2 2 2 2" xfId="417"/>
    <cellStyle name="40% - Ênfase2 2 2 3" xfId="418"/>
    <cellStyle name="40% - Ênfase2 2 2 4" xfId="419"/>
    <cellStyle name="40% - Ênfase2 2 3" xfId="420"/>
    <cellStyle name="40% - Ênfase2 2 4" xfId="421"/>
    <cellStyle name="40% - Ênfase2 2 5" xfId="422"/>
    <cellStyle name="40% - Ênfase2 2 6" xfId="423"/>
    <cellStyle name="40% - Ênfase2 2 7" xfId="424"/>
    <cellStyle name="40% - Ênfase2 2 8" xfId="425"/>
    <cellStyle name="40% - Ênfase2 2 9" xfId="426"/>
    <cellStyle name="40% - Ênfase2 3" xfId="427"/>
    <cellStyle name="40% - Ênfase2 3 2" xfId="428"/>
    <cellStyle name="40% - Ênfase2 3 3" xfId="429"/>
    <cellStyle name="40% - Ênfase2 3 4" xfId="430"/>
    <cellStyle name="40% - Ênfase2 3 5" xfId="431"/>
    <cellStyle name="40% - Ênfase2 4" xfId="432"/>
    <cellStyle name="40% - Ênfase2 4 2" xfId="433"/>
    <cellStyle name="40% - Ênfase2 4 3" xfId="434"/>
    <cellStyle name="40% - Ênfase2 4 4" xfId="435"/>
    <cellStyle name="40% - Ênfase2 4 5" xfId="436"/>
    <cellStyle name="40% - Ênfase2 5" xfId="437"/>
    <cellStyle name="40% - Ênfase2 5 2" xfId="438"/>
    <cellStyle name="40% - Ênfase2 5 3" xfId="439"/>
    <cellStyle name="40% - Ênfase2 5 4" xfId="440"/>
    <cellStyle name="40% - Ênfase2 5 5" xfId="441"/>
    <cellStyle name="40% - Ênfase2 6" xfId="442"/>
    <cellStyle name="40% - Ênfase2 7" xfId="443"/>
    <cellStyle name="40% - Ênfase2 8" xfId="444"/>
    <cellStyle name="40% - Ênfase3" xfId="445"/>
    <cellStyle name="40% - Ênfase3 2" xfId="446"/>
    <cellStyle name="40% - Ênfase3 2 2" xfId="447"/>
    <cellStyle name="40% - Ênfase3 2 2 2" xfId="448"/>
    <cellStyle name="40% - Ênfase3 2 2 3" xfId="449"/>
    <cellStyle name="40% - Ênfase3 2 2 4" xfId="450"/>
    <cellStyle name="40% - Ênfase3 2 3" xfId="451"/>
    <cellStyle name="40% - Ênfase3 2 4" xfId="452"/>
    <cellStyle name="40% - Ênfase3 2 5" xfId="453"/>
    <cellStyle name="40% - Ênfase3 2 6" xfId="454"/>
    <cellStyle name="40% - Ênfase3 2 7" xfId="455"/>
    <cellStyle name="40% - Ênfase3 2 8" xfId="456"/>
    <cellStyle name="40% - Ênfase3 2 9" xfId="457"/>
    <cellStyle name="40% - Ênfase3 3" xfId="458"/>
    <cellStyle name="40% - Ênfase3 3 2" xfId="459"/>
    <cellStyle name="40% - Ênfase3 3 2 2" xfId="460"/>
    <cellStyle name="40% - Ênfase3 3 3" xfId="461"/>
    <cellStyle name="40% - Ênfase3 3 4" xfId="462"/>
    <cellStyle name="40% - Ênfase3 3 5" xfId="463"/>
    <cellStyle name="40% - Ênfase3 3 6" xfId="464"/>
    <cellStyle name="40% - Ênfase3 3 7" xfId="465"/>
    <cellStyle name="40% - Ênfase3 3 8" xfId="466"/>
    <cellStyle name="40% - Ênfase3 4" xfId="467"/>
    <cellStyle name="40% - Ênfase3 4 2" xfId="468"/>
    <cellStyle name="40% - Ênfase3 4 3" xfId="469"/>
    <cellStyle name="40% - Ênfase3 4 4" xfId="470"/>
    <cellStyle name="40% - Ênfase3 4 5" xfId="471"/>
    <cellStyle name="40% - Ênfase3 5" xfId="472"/>
    <cellStyle name="40% - Ênfase3 5 2" xfId="473"/>
    <cellStyle name="40% - Ênfase3 5 3" xfId="474"/>
    <cellStyle name="40% - Ênfase3 5 4" xfId="475"/>
    <cellStyle name="40% - Ênfase3 5 5" xfId="476"/>
    <cellStyle name="40% - Ênfase3 6" xfId="477"/>
    <cellStyle name="40% - Ênfase3 7" xfId="478"/>
    <cellStyle name="40% - Ênfase3 8" xfId="479"/>
    <cellStyle name="40% - Ênfase4" xfId="480"/>
    <cellStyle name="40% - Ênfase4 2" xfId="481"/>
    <cellStyle name="40% - Ênfase4 2 2" xfId="482"/>
    <cellStyle name="40% - Ênfase4 2 2 2" xfId="483"/>
    <cellStyle name="40% - Ênfase4 2 2 3" xfId="484"/>
    <cellStyle name="40% - Ênfase4 2 2 4" xfId="485"/>
    <cellStyle name="40% - Ênfase4 2 3" xfId="486"/>
    <cellStyle name="40% - Ênfase4 2 4" xfId="487"/>
    <cellStyle name="40% - Ênfase4 2 5" xfId="488"/>
    <cellStyle name="40% - Ênfase4 2 6" xfId="489"/>
    <cellStyle name="40% - Ênfase4 2 7" xfId="490"/>
    <cellStyle name="40% - Ênfase4 2 8" xfId="491"/>
    <cellStyle name="40% - Ênfase4 2 9" xfId="492"/>
    <cellStyle name="40% - Ênfase4 3" xfId="493"/>
    <cellStyle name="40% - Ênfase4 3 2" xfId="494"/>
    <cellStyle name="40% - Ênfase4 3 2 2" xfId="495"/>
    <cellStyle name="40% - Ênfase4 3 3" xfId="496"/>
    <cellStyle name="40% - Ênfase4 3 4" xfId="497"/>
    <cellStyle name="40% - Ênfase4 3 5" xfId="498"/>
    <cellStyle name="40% - Ênfase4 3 6" xfId="499"/>
    <cellStyle name="40% - Ênfase4 3 7" xfId="500"/>
    <cellStyle name="40% - Ênfase4 3 8" xfId="501"/>
    <cellStyle name="40% - Ênfase4 4" xfId="502"/>
    <cellStyle name="40% - Ênfase4 4 2" xfId="503"/>
    <cellStyle name="40% - Ênfase4 4 3" xfId="504"/>
    <cellStyle name="40% - Ênfase4 4 4" xfId="505"/>
    <cellStyle name="40% - Ênfase4 4 5" xfId="506"/>
    <cellStyle name="40% - Ênfase4 5" xfId="507"/>
    <cellStyle name="40% - Ênfase4 5 2" xfId="508"/>
    <cellStyle name="40% - Ênfase4 5 3" xfId="509"/>
    <cellStyle name="40% - Ênfase4 5 4" xfId="510"/>
    <cellStyle name="40% - Ênfase4 5 5" xfId="511"/>
    <cellStyle name="40% - Ênfase4 6" xfId="512"/>
    <cellStyle name="40% - Ênfase4 7" xfId="513"/>
    <cellStyle name="40% - Ênfase4 8" xfId="514"/>
    <cellStyle name="40% - Ênfase5" xfId="515"/>
    <cellStyle name="40% - Ênfase5 2" xfId="516"/>
    <cellStyle name="40% - Ênfase5 2 2" xfId="517"/>
    <cellStyle name="40% - Ênfase5 2 2 2" xfId="518"/>
    <cellStyle name="40% - Ênfase5 2 2 3" xfId="519"/>
    <cellStyle name="40% - Ênfase5 2 2 4" xfId="520"/>
    <cellStyle name="40% - Ênfase5 2 3" xfId="521"/>
    <cellStyle name="40% - Ênfase5 2 4" xfId="522"/>
    <cellStyle name="40% - Ênfase5 2 5" xfId="523"/>
    <cellStyle name="40% - Ênfase5 2 6" xfId="524"/>
    <cellStyle name="40% - Ênfase5 2 7" xfId="525"/>
    <cellStyle name="40% - Ênfase5 2 8" xfId="526"/>
    <cellStyle name="40% - Ênfase5 2 9" xfId="527"/>
    <cellStyle name="40% - Ênfase5 3" xfId="528"/>
    <cellStyle name="40% - Ênfase5 3 2" xfId="529"/>
    <cellStyle name="40% - Ênfase5 3 3" xfId="530"/>
    <cellStyle name="40% - Ênfase5 3 4" xfId="531"/>
    <cellStyle name="40% - Ênfase5 3 5" xfId="532"/>
    <cellStyle name="40% - Ênfase5 4" xfId="533"/>
    <cellStyle name="40% - Ênfase5 4 2" xfId="534"/>
    <cellStyle name="40% - Ênfase5 4 3" xfId="535"/>
    <cellStyle name="40% - Ênfase5 4 4" xfId="536"/>
    <cellStyle name="40% - Ênfase5 4 5" xfId="537"/>
    <cellStyle name="40% - Ênfase5 5" xfId="538"/>
    <cellStyle name="40% - Ênfase5 5 2" xfId="539"/>
    <cellStyle name="40% - Ênfase5 5 3" xfId="540"/>
    <cellStyle name="40% - Ênfase5 5 4" xfId="541"/>
    <cellStyle name="40% - Ênfase5 5 5" xfId="542"/>
    <cellStyle name="40% - Ênfase5 6" xfId="543"/>
    <cellStyle name="40% - Ênfase5 7" xfId="544"/>
    <cellStyle name="40% - Ênfase5 8" xfId="545"/>
    <cellStyle name="40% - Ênfase6" xfId="546"/>
    <cellStyle name="40% - Ênfase6 2" xfId="547"/>
    <cellStyle name="40% - Ênfase6 2 2" xfId="548"/>
    <cellStyle name="40% - Ênfase6 2 2 2" xfId="549"/>
    <cellStyle name="40% - Ênfase6 2 2 3" xfId="550"/>
    <cellStyle name="40% - Ênfase6 2 2 4" xfId="551"/>
    <cellStyle name="40% - Ênfase6 2 3" xfId="552"/>
    <cellStyle name="40% - Ênfase6 2 4" xfId="553"/>
    <cellStyle name="40% - Ênfase6 2 5" xfId="554"/>
    <cellStyle name="40% - Ênfase6 2 6" xfId="555"/>
    <cellStyle name="40% - Ênfase6 2 7" xfId="556"/>
    <cellStyle name="40% - Ênfase6 2 8" xfId="557"/>
    <cellStyle name="40% - Ênfase6 2 9" xfId="558"/>
    <cellStyle name="40% - Ênfase6 3" xfId="559"/>
    <cellStyle name="40% - Ênfase6 3 2" xfId="560"/>
    <cellStyle name="40% - Ênfase6 3 2 2" xfId="561"/>
    <cellStyle name="40% - Ênfase6 3 3" xfId="562"/>
    <cellStyle name="40% - Ênfase6 3 4" xfId="563"/>
    <cellStyle name="40% - Ênfase6 3 5" xfId="564"/>
    <cellStyle name="40% - Ênfase6 3 6" xfId="565"/>
    <cellStyle name="40% - Ênfase6 3 7" xfId="566"/>
    <cellStyle name="40% - Ênfase6 3 8" xfId="567"/>
    <cellStyle name="40% - Ênfase6 4" xfId="568"/>
    <cellStyle name="40% - Ênfase6 4 2" xfId="569"/>
    <cellStyle name="40% - Ênfase6 4 3" xfId="570"/>
    <cellStyle name="40% - Ênfase6 4 4" xfId="571"/>
    <cellStyle name="40% - Ênfase6 4 5" xfId="572"/>
    <cellStyle name="40% - Ênfase6 5" xfId="573"/>
    <cellStyle name="40% - Ênfase6 5 2" xfId="574"/>
    <cellStyle name="40% - Ênfase6 5 3" xfId="575"/>
    <cellStyle name="40% - Ênfase6 5 4" xfId="576"/>
    <cellStyle name="40% - Ênfase6 5 5" xfId="577"/>
    <cellStyle name="40% - Ênfase6 6" xfId="578"/>
    <cellStyle name="40% - Ênfase6 7" xfId="579"/>
    <cellStyle name="40% - Ênfase6 8" xfId="580"/>
    <cellStyle name="60% - Accent1" xfId="581"/>
    <cellStyle name="60% - Accent1 2" xfId="582"/>
    <cellStyle name="60% - Accent1 2 2" xfId="583"/>
    <cellStyle name="60% - Accent1 2 3" xfId="584"/>
    <cellStyle name="60% - Accent1 3" xfId="585"/>
    <cellStyle name="60% - Accent1 4" xfId="586"/>
    <cellStyle name="60% - Accent1 5" xfId="587"/>
    <cellStyle name="60% - Accent1_135-11-SNR-Planilha de Quantitativos e Serviços" xfId="588"/>
    <cellStyle name="60% - Accent2" xfId="589"/>
    <cellStyle name="60% - Accent2 2" xfId="590"/>
    <cellStyle name="60% - Accent2 2 2" xfId="591"/>
    <cellStyle name="60% - Accent2 2 3" xfId="592"/>
    <cellStyle name="60% - Accent2 3" xfId="593"/>
    <cellStyle name="60% - Accent2 4" xfId="594"/>
    <cellStyle name="60% - Accent2 5" xfId="595"/>
    <cellStyle name="60% - Accent2_135-11-SNR-Planilha de Quantitativos e Serviços" xfId="596"/>
    <cellStyle name="60% - Accent3" xfId="597"/>
    <cellStyle name="60% - Accent3 2" xfId="598"/>
    <cellStyle name="60% - Accent3 2 2" xfId="599"/>
    <cellStyle name="60% - Accent3 2 3" xfId="600"/>
    <cellStyle name="60% - Accent3 3" xfId="601"/>
    <cellStyle name="60% - Accent3 4" xfId="602"/>
    <cellStyle name="60% - Accent3 5" xfId="603"/>
    <cellStyle name="60% - Accent3_135-11-SNR-Planilha de Quantitativos e Serviços" xfId="604"/>
    <cellStyle name="60% - Accent4" xfId="605"/>
    <cellStyle name="60% - Accent4 2" xfId="606"/>
    <cellStyle name="60% - Accent4 2 2" xfId="607"/>
    <cellStyle name="60% - Accent4 2 3" xfId="608"/>
    <cellStyle name="60% - Accent4 3" xfId="609"/>
    <cellStyle name="60% - Accent4 4" xfId="610"/>
    <cellStyle name="60% - Accent4 5" xfId="611"/>
    <cellStyle name="60% - Accent4_135-11-SNR-Planilha de Quantitativos e Serviços" xfId="612"/>
    <cellStyle name="60% - Accent5" xfId="613"/>
    <cellStyle name="60% - Accent5 2" xfId="614"/>
    <cellStyle name="60% - Accent5 2 2" xfId="615"/>
    <cellStyle name="60% - Accent5 2 3" xfId="616"/>
    <cellStyle name="60% - Accent5 3" xfId="617"/>
    <cellStyle name="60% - Accent5 4" xfId="618"/>
    <cellStyle name="60% - Accent5 5" xfId="619"/>
    <cellStyle name="60% - Accent5_135-11-SNR-Planilha de Quantitativos e Serviços" xfId="620"/>
    <cellStyle name="60% - Accent6" xfId="621"/>
    <cellStyle name="60% - Accent6 2" xfId="622"/>
    <cellStyle name="60% - Accent6 2 2" xfId="623"/>
    <cellStyle name="60% - Accent6 2 3" xfId="624"/>
    <cellStyle name="60% - Accent6 3" xfId="625"/>
    <cellStyle name="60% - Accent6 4" xfId="626"/>
    <cellStyle name="60% - Accent6 5" xfId="627"/>
    <cellStyle name="60% - Accent6_135-11-SNR-Planilha de Quantitativos e Serviços" xfId="628"/>
    <cellStyle name="60% - Ênfase1" xfId="629"/>
    <cellStyle name="60% - Ênfase1 2" xfId="630"/>
    <cellStyle name="60% - Ênfase1 2 2" xfId="631"/>
    <cellStyle name="60% - Ênfase1 2 2 2" xfId="632"/>
    <cellStyle name="60% - Ênfase1 2 2 3" xfId="633"/>
    <cellStyle name="60% - Ênfase1 2 3" xfId="634"/>
    <cellStyle name="60% - Ênfase1 2 4" xfId="635"/>
    <cellStyle name="60% - Ênfase1 2 5" xfId="636"/>
    <cellStyle name="60% - Ênfase1 2 6" xfId="637"/>
    <cellStyle name="60% - Ênfase1 2 7" xfId="638"/>
    <cellStyle name="60% - Ênfase1 2 8" xfId="639"/>
    <cellStyle name="60% - Ênfase1 3" xfId="640"/>
    <cellStyle name="60% - Ênfase1 3 2" xfId="641"/>
    <cellStyle name="60% - Ênfase1 3 3" xfId="642"/>
    <cellStyle name="60% - Ênfase1 3 4" xfId="643"/>
    <cellStyle name="60% - Ênfase1 3 5" xfId="644"/>
    <cellStyle name="60% - Ênfase1 4" xfId="645"/>
    <cellStyle name="60% - Ênfase1 4 2" xfId="646"/>
    <cellStyle name="60% - Ênfase1 4 3" xfId="647"/>
    <cellStyle name="60% - Ênfase1 4 4" xfId="648"/>
    <cellStyle name="60% - Ênfase1 4 5" xfId="649"/>
    <cellStyle name="60% - Ênfase1 5" xfId="650"/>
    <cellStyle name="60% - Ênfase1 5 2" xfId="651"/>
    <cellStyle name="60% - Ênfase1 5 3" xfId="652"/>
    <cellStyle name="60% - Ênfase1 5 4" xfId="653"/>
    <cellStyle name="60% - Ênfase1 5 5" xfId="654"/>
    <cellStyle name="60% - Ênfase1 6" xfId="655"/>
    <cellStyle name="60% - Ênfase1 7" xfId="656"/>
    <cellStyle name="60% - Ênfase2" xfId="657"/>
    <cellStyle name="60% - Ênfase2 2" xfId="658"/>
    <cellStyle name="60% - Ênfase2 2 2" xfId="659"/>
    <cellStyle name="60% - Ênfase2 2 2 2" xfId="660"/>
    <cellStyle name="60% - Ênfase2 2 2 3" xfId="661"/>
    <cellStyle name="60% - Ênfase2 2 3" xfId="662"/>
    <cellStyle name="60% - Ênfase2 2 4" xfId="663"/>
    <cellStyle name="60% - Ênfase2 2 5" xfId="664"/>
    <cellStyle name="60% - Ênfase2 2 6" xfId="665"/>
    <cellStyle name="60% - Ênfase2 2 7" xfId="666"/>
    <cellStyle name="60% - Ênfase2 2 8" xfId="667"/>
    <cellStyle name="60% - Ênfase2 3" xfId="668"/>
    <cellStyle name="60% - Ênfase2 3 2" xfId="669"/>
    <cellStyle name="60% - Ênfase2 3 3" xfId="670"/>
    <cellStyle name="60% - Ênfase2 3 4" xfId="671"/>
    <cellStyle name="60% - Ênfase2 3 5" xfId="672"/>
    <cellStyle name="60% - Ênfase2 4" xfId="673"/>
    <cellStyle name="60% - Ênfase2 4 2" xfId="674"/>
    <cellStyle name="60% - Ênfase2 4 3" xfId="675"/>
    <cellStyle name="60% - Ênfase2 4 4" xfId="676"/>
    <cellStyle name="60% - Ênfase2 4 5" xfId="677"/>
    <cellStyle name="60% - Ênfase2 5" xfId="678"/>
    <cellStyle name="60% - Ênfase2 6" xfId="679"/>
    <cellStyle name="60% - Ênfase2 7" xfId="680"/>
    <cellStyle name="60% - Ênfase3" xfId="681"/>
    <cellStyle name="60% - Ênfase3 2" xfId="682"/>
    <cellStyle name="60% - Ênfase3 2 2" xfId="683"/>
    <cellStyle name="60% - Ênfase3 2 2 2" xfId="684"/>
    <cellStyle name="60% - Ênfase3 2 2 3" xfId="685"/>
    <cellStyle name="60% - Ênfase3 2 3" xfId="686"/>
    <cellStyle name="60% - Ênfase3 2 4" xfId="687"/>
    <cellStyle name="60% - Ênfase3 2 5" xfId="688"/>
    <cellStyle name="60% - Ênfase3 2 6" xfId="689"/>
    <cellStyle name="60% - Ênfase3 2 7" xfId="690"/>
    <cellStyle name="60% - Ênfase3 2 8" xfId="691"/>
    <cellStyle name="60% - Ênfase3 3" xfId="692"/>
    <cellStyle name="60% - Ênfase3 3 2" xfId="693"/>
    <cellStyle name="60% - Ênfase3 3 3" xfId="694"/>
    <cellStyle name="60% - Ênfase3 3 4" xfId="695"/>
    <cellStyle name="60% - Ênfase3 3 5" xfId="696"/>
    <cellStyle name="60% - Ênfase3 4" xfId="697"/>
    <cellStyle name="60% - Ênfase3 4 2" xfId="698"/>
    <cellStyle name="60% - Ênfase3 4 3" xfId="699"/>
    <cellStyle name="60% - Ênfase3 4 4" xfId="700"/>
    <cellStyle name="60% - Ênfase3 4 5" xfId="701"/>
    <cellStyle name="60% - Ênfase3 5" xfId="702"/>
    <cellStyle name="60% - Ênfase3 5 2" xfId="703"/>
    <cellStyle name="60% - Ênfase3 5 3" xfId="704"/>
    <cellStyle name="60% - Ênfase3 5 4" xfId="705"/>
    <cellStyle name="60% - Ênfase3 5 5" xfId="706"/>
    <cellStyle name="60% - Ênfase3 6" xfId="707"/>
    <cellStyle name="60% - Ênfase3 7" xfId="708"/>
    <cellStyle name="60% - Ênfase4" xfId="709"/>
    <cellStyle name="60% - Ênfase4 2" xfId="710"/>
    <cellStyle name="60% - Ênfase4 2 2" xfId="711"/>
    <cellStyle name="60% - Ênfase4 2 2 2" xfId="712"/>
    <cellStyle name="60% - Ênfase4 2 2 3" xfId="713"/>
    <cellStyle name="60% - Ênfase4 2 3" xfId="714"/>
    <cellStyle name="60% - Ênfase4 2 4" xfId="715"/>
    <cellStyle name="60% - Ênfase4 2 5" xfId="716"/>
    <cellStyle name="60% - Ênfase4 2 6" xfId="717"/>
    <cellStyle name="60% - Ênfase4 2 7" xfId="718"/>
    <cellStyle name="60% - Ênfase4 2 8" xfId="719"/>
    <cellStyle name="60% - Ênfase4 3" xfId="720"/>
    <cellStyle name="60% - Ênfase4 3 2" xfId="721"/>
    <cellStyle name="60% - Ênfase4 3 3" xfId="722"/>
    <cellStyle name="60% - Ênfase4 3 4" xfId="723"/>
    <cellStyle name="60% - Ênfase4 3 5" xfId="724"/>
    <cellStyle name="60% - Ênfase4 4" xfId="725"/>
    <cellStyle name="60% - Ênfase4 4 2" xfId="726"/>
    <cellStyle name="60% - Ênfase4 4 3" xfId="727"/>
    <cellStyle name="60% - Ênfase4 4 4" xfId="728"/>
    <cellStyle name="60% - Ênfase4 4 5" xfId="729"/>
    <cellStyle name="60% - Ênfase4 5" xfId="730"/>
    <cellStyle name="60% - Ênfase4 5 2" xfId="731"/>
    <cellStyle name="60% - Ênfase4 5 3" xfId="732"/>
    <cellStyle name="60% - Ênfase4 5 4" xfId="733"/>
    <cellStyle name="60% - Ênfase4 5 5" xfId="734"/>
    <cellStyle name="60% - Ênfase4 6" xfId="735"/>
    <cellStyle name="60% - Ênfase4 7" xfId="736"/>
    <cellStyle name="60% - Ênfase5" xfId="737"/>
    <cellStyle name="60% - Ênfase5 2" xfId="738"/>
    <cellStyle name="60% - Ênfase5 2 2" xfId="739"/>
    <cellStyle name="60% - Ênfase5 2 2 2" xfId="740"/>
    <cellStyle name="60% - Ênfase5 2 2 3" xfId="741"/>
    <cellStyle name="60% - Ênfase5 2 3" xfId="742"/>
    <cellStyle name="60% - Ênfase5 2 4" xfId="743"/>
    <cellStyle name="60% - Ênfase5 2 5" xfId="744"/>
    <cellStyle name="60% - Ênfase5 2 6" xfId="745"/>
    <cellStyle name="60% - Ênfase5 2 7" xfId="746"/>
    <cellStyle name="60% - Ênfase5 2 8" xfId="747"/>
    <cellStyle name="60% - Ênfase5 3" xfId="748"/>
    <cellStyle name="60% - Ênfase5 3 2" xfId="749"/>
    <cellStyle name="60% - Ênfase5 3 3" xfId="750"/>
    <cellStyle name="60% - Ênfase5 3 4" xfId="751"/>
    <cellStyle name="60% - Ênfase5 3 5" xfId="752"/>
    <cellStyle name="60% - Ênfase5 4" xfId="753"/>
    <cellStyle name="60% - Ênfase5 4 2" xfId="754"/>
    <cellStyle name="60% - Ênfase5 4 3" xfId="755"/>
    <cellStyle name="60% - Ênfase5 4 4" xfId="756"/>
    <cellStyle name="60% - Ênfase5 4 5" xfId="757"/>
    <cellStyle name="60% - Ênfase5 5" xfId="758"/>
    <cellStyle name="60% - Ênfase5 6" xfId="759"/>
    <cellStyle name="60% - Ênfase5 7" xfId="760"/>
    <cellStyle name="60% - Ênfase6" xfId="761"/>
    <cellStyle name="60% - Ênfase6 2" xfId="762"/>
    <cellStyle name="60% - Ênfase6 2 2" xfId="763"/>
    <cellStyle name="60% - Ênfase6 2 2 2" xfId="764"/>
    <cellStyle name="60% - Ênfase6 2 2 3" xfId="765"/>
    <cellStyle name="60% - Ênfase6 2 3" xfId="766"/>
    <cellStyle name="60% - Ênfase6 2 4" xfId="767"/>
    <cellStyle name="60% - Ênfase6 2 5" xfId="768"/>
    <cellStyle name="60% - Ênfase6 2 6" xfId="769"/>
    <cellStyle name="60% - Ênfase6 2 7" xfId="770"/>
    <cellStyle name="60% - Ênfase6 2 8" xfId="771"/>
    <cellStyle name="60% - Ênfase6 3" xfId="772"/>
    <cellStyle name="60% - Ênfase6 3 2" xfId="773"/>
    <cellStyle name="60% - Ênfase6 3 3" xfId="774"/>
    <cellStyle name="60% - Ênfase6 3 4" xfId="775"/>
    <cellStyle name="60% - Ênfase6 3 5" xfId="776"/>
    <cellStyle name="60% - Ênfase6 4" xfId="777"/>
    <cellStyle name="60% - Ênfase6 4 2" xfId="778"/>
    <cellStyle name="60% - Ênfase6 4 3" xfId="779"/>
    <cellStyle name="60% - Ênfase6 4 4" xfId="780"/>
    <cellStyle name="60% - Ênfase6 4 5" xfId="781"/>
    <cellStyle name="60% - Ênfase6 5" xfId="782"/>
    <cellStyle name="60% - Ênfase6 5 2" xfId="783"/>
    <cellStyle name="60% - Ênfase6 5 3" xfId="784"/>
    <cellStyle name="60% - Ênfase6 5 4" xfId="785"/>
    <cellStyle name="60% - Ênfase6 5 5" xfId="786"/>
    <cellStyle name="60% - Ênfase6 6" xfId="787"/>
    <cellStyle name="60% - Ênfase6 7" xfId="788"/>
    <cellStyle name="Accent1" xfId="789"/>
    <cellStyle name="Accent1 2" xfId="790"/>
    <cellStyle name="Accent1 2 2" xfId="791"/>
    <cellStyle name="Accent1 2 3" xfId="792"/>
    <cellStyle name="Accent1 3" xfId="793"/>
    <cellStyle name="Accent1 4" xfId="794"/>
    <cellStyle name="Accent1 5" xfId="795"/>
    <cellStyle name="Accent1_135-11-SNR-Planilha de Quantitativos e Serviços" xfId="796"/>
    <cellStyle name="Accent2" xfId="797"/>
    <cellStyle name="Accent2 2" xfId="798"/>
    <cellStyle name="Accent2 2 2" xfId="799"/>
    <cellStyle name="Accent2 2 3" xfId="800"/>
    <cellStyle name="Accent2 3" xfId="801"/>
    <cellStyle name="Accent2 4" xfId="802"/>
    <cellStyle name="Accent2 5" xfId="803"/>
    <cellStyle name="Accent2_135-11-SNR-Planilha de Quantitativos e Serviços" xfId="804"/>
    <cellStyle name="Accent3" xfId="805"/>
    <cellStyle name="Accent3 2" xfId="806"/>
    <cellStyle name="Accent3 2 2" xfId="807"/>
    <cellStyle name="Accent3 2 3" xfId="808"/>
    <cellStyle name="Accent3 3" xfId="809"/>
    <cellStyle name="Accent3 4" xfId="810"/>
    <cellStyle name="Accent3 5" xfId="811"/>
    <cellStyle name="Accent3_135-11-SNR-Planilha de Quantitativos e Serviços" xfId="812"/>
    <cellStyle name="Accent4" xfId="813"/>
    <cellStyle name="Accent4 2" xfId="814"/>
    <cellStyle name="Accent4 2 2" xfId="815"/>
    <cellStyle name="Accent4 2 3" xfId="816"/>
    <cellStyle name="Accent4 3" xfId="817"/>
    <cellStyle name="Accent4 4" xfId="818"/>
    <cellStyle name="Accent4 5" xfId="819"/>
    <cellStyle name="Accent4_135-11-SNR-Planilha de Quantitativos e Serviços" xfId="820"/>
    <cellStyle name="Accent5" xfId="821"/>
    <cellStyle name="Accent5 2" xfId="822"/>
    <cellStyle name="Accent5 2 2" xfId="823"/>
    <cellStyle name="Accent5 2 3" xfId="824"/>
    <cellStyle name="Accent5 3" xfId="825"/>
    <cellStyle name="Accent5 4" xfId="826"/>
    <cellStyle name="Accent5 5" xfId="827"/>
    <cellStyle name="Accent6" xfId="828"/>
    <cellStyle name="Accent6 2" xfId="829"/>
    <cellStyle name="Accent6 2 2" xfId="830"/>
    <cellStyle name="Accent6 2 3" xfId="831"/>
    <cellStyle name="Accent6 3" xfId="832"/>
    <cellStyle name="Accent6 4" xfId="833"/>
    <cellStyle name="Accent6 5" xfId="834"/>
    <cellStyle name="Accent6_135-11-SNR-Planilha de Quantitativos e Serviços" xfId="835"/>
    <cellStyle name="ARIAL" xfId="836"/>
    <cellStyle name="Bad" xfId="837"/>
    <cellStyle name="Bad 2" xfId="838"/>
    <cellStyle name="Bad 2 2" xfId="839"/>
    <cellStyle name="Bad 2 3" xfId="840"/>
    <cellStyle name="Bad 3" xfId="841"/>
    <cellStyle name="Bad 4" xfId="842"/>
    <cellStyle name="Bad 5" xfId="843"/>
    <cellStyle name="Bad_135-11-SNR-Planilha de Quantitativos e Serviços" xfId="844"/>
    <cellStyle name="Beschreibung" xfId="845"/>
    <cellStyle name="Bom" xfId="846"/>
    <cellStyle name="Bom 2" xfId="847"/>
    <cellStyle name="Bom 2 2" xfId="848"/>
    <cellStyle name="Bom 2 2 2" xfId="849"/>
    <cellStyle name="Bom 2 2 3" xfId="850"/>
    <cellStyle name="Bom 2 3" xfId="851"/>
    <cellStyle name="Bom 2 4" xfId="852"/>
    <cellStyle name="Bom 2 5" xfId="853"/>
    <cellStyle name="Bom 2 6" xfId="854"/>
    <cellStyle name="Bom 2 7" xfId="855"/>
    <cellStyle name="Bom 2 8" xfId="856"/>
    <cellStyle name="Bom 3" xfId="857"/>
    <cellStyle name="Bom 3 2" xfId="858"/>
    <cellStyle name="Bom 3 3" xfId="859"/>
    <cellStyle name="Bom 3 4" xfId="860"/>
    <cellStyle name="Bom 3 5" xfId="861"/>
    <cellStyle name="Bom 4" xfId="862"/>
    <cellStyle name="Bom 4 2" xfId="863"/>
    <cellStyle name="Bom 4 3" xfId="864"/>
    <cellStyle name="Bom 4 4" xfId="865"/>
    <cellStyle name="Bom 4 5" xfId="866"/>
    <cellStyle name="Bom 5" xfId="867"/>
    <cellStyle name="Bom 5 2" xfId="868"/>
    <cellStyle name="Bom 5 3" xfId="869"/>
    <cellStyle name="Bom 5 4" xfId="870"/>
    <cellStyle name="Bom 5 5" xfId="871"/>
    <cellStyle name="Bom 6" xfId="872"/>
    <cellStyle name="Bom 7" xfId="873"/>
    <cellStyle name="Calculation" xfId="874"/>
    <cellStyle name="Calculation 2" xfId="875"/>
    <cellStyle name="Calculation 2 2" xfId="876"/>
    <cellStyle name="Calculation 2 3" xfId="877"/>
    <cellStyle name="Calculation 3" xfId="878"/>
    <cellStyle name="Calculation 4" xfId="879"/>
    <cellStyle name="Calculation 5" xfId="880"/>
    <cellStyle name="Calculation_135-11-SNR-Planilha de Quantitativos e Serviços" xfId="881"/>
    <cellStyle name="Cálculo" xfId="882"/>
    <cellStyle name="Cálculo 2" xfId="883"/>
    <cellStyle name="Cálculo 2 2" xfId="884"/>
    <cellStyle name="Cálculo 2 2 2" xfId="885"/>
    <cellStyle name="Cálculo 2 2 3" xfId="886"/>
    <cellStyle name="Cálculo 2 3" xfId="887"/>
    <cellStyle name="Cálculo 2 4" xfId="888"/>
    <cellStyle name="Cálculo 2 5" xfId="889"/>
    <cellStyle name="Cálculo 2 6" xfId="890"/>
    <cellStyle name="Cálculo 2 7" xfId="891"/>
    <cellStyle name="Cálculo 2 8" xfId="892"/>
    <cellStyle name="Cálculo 3" xfId="893"/>
    <cellStyle name="Cálculo 3 2" xfId="894"/>
    <cellStyle name="Cálculo 3 3" xfId="895"/>
    <cellStyle name="Cálculo 3 4" xfId="896"/>
    <cellStyle name="Cálculo 3 5" xfId="897"/>
    <cellStyle name="Cálculo 4" xfId="898"/>
    <cellStyle name="Cálculo 4 2" xfId="899"/>
    <cellStyle name="Cálculo 4 3" xfId="900"/>
    <cellStyle name="Cálculo 4 4" xfId="901"/>
    <cellStyle name="Cálculo 4 5" xfId="902"/>
    <cellStyle name="Cálculo 5" xfId="903"/>
    <cellStyle name="Cálculo 5 2" xfId="904"/>
    <cellStyle name="Cálculo 5 3" xfId="905"/>
    <cellStyle name="Cálculo 5 4" xfId="906"/>
    <cellStyle name="Cálculo 5 5" xfId="907"/>
    <cellStyle name="Cálculo 6" xfId="908"/>
    <cellStyle name="Cálculo 7" xfId="909"/>
    <cellStyle name="Cancel" xfId="910"/>
    <cellStyle name="Cancel 2" xfId="911"/>
    <cellStyle name="Cancel 2 2" xfId="912"/>
    <cellStyle name="Cancel 3" xfId="913"/>
    <cellStyle name="Cancel 4" xfId="914"/>
    <cellStyle name="Cancel 5" xfId="915"/>
    <cellStyle name="Cancel 6" xfId="916"/>
    <cellStyle name="category" xfId="917"/>
    <cellStyle name="Célula de Verificação" xfId="918"/>
    <cellStyle name="Célula de Verificação 2" xfId="919"/>
    <cellStyle name="Célula de Verificação 2 2" xfId="920"/>
    <cellStyle name="Célula de Verificação 2 3" xfId="921"/>
    <cellStyle name="Célula de Verificação 2 4" xfId="922"/>
    <cellStyle name="Célula de Verificação 2 5" xfId="923"/>
    <cellStyle name="Célula de Verificação 2 6" xfId="924"/>
    <cellStyle name="Célula de Verificação 2 7" xfId="925"/>
    <cellStyle name="Célula de Verificação 2 8" xfId="926"/>
    <cellStyle name="Célula de Verificação 3" xfId="927"/>
    <cellStyle name="Célula de Verificação 3 2" xfId="928"/>
    <cellStyle name="Célula de Verificação 3 3" xfId="929"/>
    <cellStyle name="Célula de Verificação 3 4" xfId="930"/>
    <cellStyle name="Célula de Verificação 3 5" xfId="931"/>
    <cellStyle name="Célula de Verificação 4" xfId="932"/>
    <cellStyle name="Célula de Verificação 4 2" xfId="933"/>
    <cellStyle name="Célula de Verificação 4 3" xfId="934"/>
    <cellStyle name="Célula de Verificação 4 4" xfId="935"/>
    <cellStyle name="Célula de Verificação 4 5" xfId="936"/>
    <cellStyle name="Célula de Verificação 5" xfId="937"/>
    <cellStyle name="Célula de Verificação 6" xfId="938"/>
    <cellStyle name="Célula de Verificação 7" xfId="939"/>
    <cellStyle name="Célula Vinculada" xfId="940"/>
    <cellStyle name="Célula Vinculada 2" xfId="941"/>
    <cellStyle name="Célula Vinculada 2 2" xfId="942"/>
    <cellStyle name="Célula Vinculada 2 2 2" xfId="943"/>
    <cellStyle name="Célula Vinculada 2 2 3" xfId="944"/>
    <cellStyle name="Célula Vinculada 2 3" xfId="945"/>
    <cellStyle name="Célula Vinculada 2 4" xfId="946"/>
    <cellStyle name="Célula Vinculada 2 5" xfId="947"/>
    <cellStyle name="Célula Vinculada 2 6" xfId="948"/>
    <cellStyle name="Célula Vinculada 2 7" xfId="949"/>
    <cellStyle name="Célula Vinculada 3" xfId="950"/>
    <cellStyle name="Célula Vinculada 4" xfId="951"/>
    <cellStyle name="Célula Vinculada 5" xfId="952"/>
    <cellStyle name="Célula Vinculada 6" xfId="953"/>
    <cellStyle name="Célula Vinculada 7" xfId="954"/>
    <cellStyle name="Check Cell" xfId="955"/>
    <cellStyle name="Check Cell 2" xfId="956"/>
    <cellStyle name="Check Cell 2 2" xfId="957"/>
    <cellStyle name="Check Cell 2 3" xfId="958"/>
    <cellStyle name="Check Cell 3" xfId="959"/>
    <cellStyle name="Check Cell 4" xfId="960"/>
    <cellStyle name="Check Cell 5" xfId="961"/>
    <cellStyle name="Comma" xfId="962"/>
    <cellStyle name="Comma [0]_aola" xfId="963"/>
    <cellStyle name="Comma 10" xfId="964"/>
    <cellStyle name="Comma 2" xfId="965"/>
    <cellStyle name="Comma 2 2" xfId="966"/>
    <cellStyle name="Comma 2 3" xfId="967"/>
    <cellStyle name="Comma 2 4" xfId="968"/>
    <cellStyle name="Comma 2 5" xfId="969"/>
    <cellStyle name="Comma 2 6" xfId="970"/>
    <cellStyle name="Comma 3" xfId="971"/>
    <cellStyle name="Comma 4" xfId="972"/>
    <cellStyle name="Comma 5" xfId="973"/>
    <cellStyle name="Comma 6" xfId="974"/>
    <cellStyle name="Comma 7" xfId="975"/>
    <cellStyle name="Comma 8" xfId="976"/>
    <cellStyle name="Comma 9" xfId="977"/>
    <cellStyle name="Comma_027-Planilha Dom Bosco cronograma consolidado" xfId="978"/>
    <cellStyle name="Comma0" xfId="979"/>
    <cellStyle name="Comma0 2" xfId="980"/>
    <cellStyle name="Comma0 3" xfId="981"/>
    <cellStyle name="Company Logo" xfId="982"/>
    <cellStyle name="Currency" xfId="983"/>
    <cellStyle name="Currency $" xfId="984"/>
    <cellStyle name="Currency [0]_aola" xfId="985"/>
    <cellStyle name="Currency 10" xfId="986"/>
    <cellStyle name="Currency 2" xfId="987"/>
    <cellStyle name="Currency 3" xfId="988"/>
    <cellStyle name="Currency 4" xfId="989"/>
    <cellStyle name="Currency 5" xfId="990"/>
    <cellStyle name="Currency 6" xfId="991"/>
    <cellStyle name="Currency 7" xfId="992"/>
    <cellStyle name="Currency 8" xfId="993"/>
    <cellStyle name="Currency 9" xfId="994"/>
    <cellStyle name="Currency_027-Planilha Dom Bosco cronograma consolidado" xfId="995"/>
    <cellStyle name="Currency0" xfId="996"/>
    <cellStyle name="Currency0 2" xfId="997"/>
    <cellStyle name="Currency0 3" xfId="998"/>
    <cellStyle name="Data" xfId="999"/>
    <cellStyle name="Data 2" xfId="1000"/>
    <cellStyle name="Data Headings" xfId="1001"/>
    <cellStyle name="Data Input" xfId="1002"/>
    <cellStyle name="Data_017-10-PT-15-GERDAU-Organograma" xfId="1003"/>
    <cellStyle name="Date" xfId="1004"/>
    <cellStyle name="Date 2" xfId="1005"/>
    <cellStyle name="Date 3" xfId="1006"/>
    <cellStyle name="Ênfase1" xfId="1007"/>
    <cellStyle name="Ênfase1 2" xfId="1008"/>
    <cellStyle name="Ênfase1 2 2" xfId="1009"/>
    <cellStyle name="Ênfase1 2 2 2" xfId="1010"/>
    <cellStyle name="Ênfase1 2 2 3" xfId="1011"/>
    <cellStyle name="Ênfase1 2 3" xfId="1012"/>
    <cellStyle name="Ênfase1 2 4" xfId="1013"/>
    <cellStyle name="Ênfase1 2 5" xfId="1014"/>
    <cellStyle name="Ênfase1 2 6" xfId="1015"/>
    <cellStyle name="Ênfase1 2 7" xfId="1016"/>
    <cellStyle name="Ênfase1 2 8" xfId="1017"/>
    <cellStyle name="Ênfase1 3" xfId="1018"/>
    <cellStyle name="Ênfase1 3 2" xfId="1019"/>
    <cellStyle name="Ênfase1 3 3" xfId="1020"/>
    <cellStyle name="Ênfase1 3 4" xfId="1021"/>
    <cellStyle name="Ênfase1 3 5" xfId="1022"/>
    <cellStyle name="Ênfase1 4" xfId="1023"/>
    <cellStyle name="Ênfase1 4 2" xfId="1024"/>
    <cellStyle name="Ênfase1 4 3" xfId="1025"/>
    <cellStyle name="Ênfase1 4 4" xfId="1026"/>
    <cellStyle name="Ênfase1 4 5" xfId="1027"/>
    <cellStyle name="Ênfase1 5" xfId="1028"/>
    <cellStyle name="Ênfase1 5 2" xfId="1029"/>
    <cellStyle name="Ênfase1 5 3" xfId="1030"/>
    <cellStyle name="Ênfase1 5 4" xfId="1031"/>
    <cellStyle name="Ênfase1 5 5" xfId="1032"/>
    <cellStyle name="Ênfase1 6" xfId="1033"/>
    <cellStyle name="Ênfase1 7" xfId="1034"/>
    <cellStyle name="Ênfase2" xfId="1035"/>
    <cellStyle name="Ênfase2 2" xfId="1036"/>
    <cellStyle name="Ênfase2 2 2" xfId="1037"/>
    <cellStyle name="Ênfase2 2 2 2" xfId="1038"/>
    <cellStyle name="Ênfase2 2 2 3" xfId="1039"/>
    <cellStyle name="Ênfase2 2 3" xfId="1040"/>
    <cellStyle name="Ênfase2 2 4" xfId="1041"/>
    <cellStyle name="Ênfase2 2 5" xfId="1042"/>
    <cellStyle name="Ênfase2 2 6" xfId="1043"/>
    <cellStyle name="Ênfase2 2 7" xfId="1044"/>
    <cellStyle name="Ênfase2 2 8" xfId="1045"/>
    <cellStyle name="Ênfase2 3" xfId="1046"/>
    <cellStyle name="Ênfase2 3 2" xfId="1047"/>
    <cellStyle name="Ênfase2 3 3" xfId="1048"/>
    <cellStyle name="Ênfase2 3 4" xfId="1049"/>
    <cellStyle name="Ênfase2 3 5" xfId="1050"/>
    <cellStyle name="Ênfase2 4" xfId="1051"/>
    <cellStyle name="Ênfase2 4 2" xfId="1052"/>
    <cellStyle name="Ênfase2 4 3" xfId="1053"/>
    <cellStyle name="Ênfase2 4 4" xfId="1054"/>
    <cellStyle name="Ênfase2 4 5" xfId="1055"/>
    <cellStyle name="Ênfase2 5" xfId="1056"/>
    <cellStyle name="Ênfase2 6" xfId="1057"/>
    <cellStyle name="Ênfase2 7" xfId="1058"/>
    <cellStyle name="Ênfase3" xfId="1059"/>
    <cellStyle name="Ênfase3 2" xfId="1060"/>
    <cellStyle name="Ênfase3 2 2" xfId="1061"/>
    <cellStyle name="Ênfase3 2 2 2" xfId="1062"/>
    <cellStyle name="Ênfase3 2 2 3" xfId="1063"/>
    <cellStyle name="Ênfase3 2 3" xfId="1064"/>
    <cellStyle name="Ênfase3 2 4" xfId="1065"/>
    <cellStyle name="Ênfase3 2 5" xfId="1066"/>
    <cellStyle name="Ênfase3 2 6" xfId="1067"/>
    <cellStyle name="Ênfase3 2 7" xfId="1068"/>
    <cellStyle name="Ênfase3 2 8" xfId="1069"/>
    <cellStyle name="Ênfase3 3" xfId="1070"/>
    <cellStyle name="Ênfase3 3 2" xfId="1071"/>
    <cellStyle name="Ênfase3 3 3" xfId="1072"/>
    <cellStyle name="Ênfase3 3 4" xfId="1073"/>
    <cellStyle name="Ênfase3 3 5" xfId="1074"/>
    <cellStyle name="Ênfase3 4" xfId="1075"/>
    <cellStyle name="Ênfase3 4 2" xfId="1076"/>
    <cellStyle name="Ênfase3 4 3" xfId="1077"/>
    <cellStyle name="Ênfase3 4 4" xfId="1078"/>
    <cellStyle name="Ênfase3 4 5" xfId="1079"/>
    <cellStyle name="Ênfase3 5" xfId="1080"/>
    <cellStyle name="Ênfase3 6" xfId="1081"/>
    <cellStyle name="Ênfase3 7" xfId="1082"/>
    <cellStyle name="Ênfase4" xfId="1083"/>
    <cellStyle name="Ênfase4 2" xfId="1084"/>
    <cellStyle name="Ênfase4 2 2" xfId="1085"/>
    <cellStyle name="Ênfase4 2 2 2" xfId="1086"/>
    <cellStyle name="Ênfase4 2 2 3" xfId="1087"/>
    <cellStyle name="Ênfase4 2 3" xfId="1088"/>
    <cellStyle name="Ênfase4 2 4" xfId="1089"/>
    <cellStyle name="Ênfase4 2 5" xfId="1090"/>
    <cellStyle name="Ênfase4 2 6" xfId="1091"/>
    <cellStyle name="Ênfase4 2 7" xfId="1092"/>
    <cellStyle name="Ênfase4 2 8" xfId="1093"/>
    <cellStyle name="Ênfase4 3" xfId="1094"/>
    <cellStyle name="Ênfase4 3 2" xfId="1095"/>
    <cellStyle name="Ênfase4 3 3" xfId="1096"/>
    <cellStyle name="Ênfase4 3 4" xfId="1097"/>
    <cellStyle name="Ênfase4 3 5" xfId="1098"/>
    <cellStyle name="Ênfase4 4" xfId="1099"/>
    <cellStyle name="Ênfase4 4 2" xfId="1100"/>
    <cellStyle name="Ênfase4 4 3" xfId="1101"/>
    <cellStyle name="Ênfase4 4 4" xfId="1102"/>
    <cellStyle name="Ênfase4 4 5" xfId="1103"/>
    <cellStyle name="Ênfase4 5" xfId="1104"/>
    <cellStyle name="Ênfase4 5 2" xfId="1105"/>
    <cellStyle name="Ênfase4 5 3" xfId="1106"/>
    <cellStyle name="Ênfase4 5 4" xfId="1107"/>
    <cellStyle name="Ênfase4 5 5" xfId="1108"/>
    <cellStyle name="Ênfase4 6" xfId="1109"/>
    <cellStyle name="Ênfase4 7" xfId="1110"/>
    <cellStyle name="Ênfase5" xfId="1111"/>
    <cellStyle name="Ênfase5 2" xfId="1112"/>
    <cellStyle name="Ênfase5 2 2" xfId="1113"/>
    <cellStyle name="Ênfase5 2 3" xfId="1114"/>
    <cellStyle name="Ênfase5 2 4" xfId="1115"/>
    <cellStyle name="Ênfase5 2 5" xfId="1116"/>
    <cellStyle name="Ênfase5 2 6" xfId="1117"/>
    <cellStyle name="Ênfase5 2 7" xfId="1118"/>
    <cellStyle name="Ênfase5 2 8" xfId="1119"/>
    <cellStyle name="Ênfase5 3" xfId="1120"/>
    <cellStyle name="Ênfase5 3 2" xfId="1121"/>
    <cellStyle name="Ênfase5 3 3" xfId="1122"/>
    <cellStyle name="Ênfase5 3 4" xfId="1123"/>
    <cellStyle name="Ênfase5 3 5" xfId="1124"/>
    <cellStyle name="Ênfase5 4" xfId="1125"/>
    <cellStyle name="Ênfase5 4 2" xfId="1126"/>
    <cellStyle name="Ênfase5 4 3" xfId="1127"/>
    <cellStyle name="Ênfase5 4 4" xfId="1128"/>
    <cellStyle name="Ênfase5 4 5" xfId="1129"/>
    <cellStyle name="Ênfase5 5" xfId="1130"/>
    <cellStyle name="Ênfase5 6" xfId="1131"/>
    <cellStyle name="Ênfase5 7" xfId="1132"/>
    <cellStyle name="Ênfase6" xfId="1133"/>
    <cellStyle name="Ênfase6 2" xfId="1134"/>
    <cellStyle name="Ênfase6 2 2" xfId="1135"/>
    <cellStyle name="Ênfase6 2 2 2" xfId="1136"/>
    <cellStyle name="Ênfase6 2 2 3" xfId="1137"/>
    <cellStyle name="Ênfase6 2 3" xfId="1138"/>
    <cellStyle name="Ênfase6 2 4" xfId="1139"/>
    <cellStyle name="Ênfase6 2 5" xfId="1140"/>
    <cellStyle name="Ênfase6 2 6" xfId="1141"/>
    <cellStyle name="Ênfase6 2 7" xfId="1142"/>
    <cellStyle name="Ênfase6 2 8" xfId="1143"/>
    <cellStyle name="Ênfase6 3" xfId="1144"/>
    <cellStyle name="Ênfase6 3 2" xfId="1145"/>
    <cellStyle name="Ênfase6 3 3" xfId="1146"/>
    <cellStyle name="Ênfase6 3 4" xfId="1147"/>
    <cellStyle name="Ênfase6 3 5" xfId="1148"/>
    <cellStyle name="Ênfase6 4" xfId="1149"/>
    <cellStyle name="Ênfase6 4 2" xfId="1150"/>
    <cellStyle name="Ênfase6 4 3" xfId="1151"/>
    <cellStyle name="Ênfase6 4 4" xfId="1152"/>
    <cellStyle name="Ênfase6 4 5" xfId="1153"/>
    <cellStyle name="Ênfase6 5" xfId="1154"/>
    <cellStyle name="Ênfase6 6" xfId="1155"/>
    <cellStyle name="Ênfase6 7" xfId="1156"/>
    <cellStyle name="Entrada" xfId="1157"/>
    <cellStyle name="Entrada 2" xfId="1158"/>
    <cellStyle name="Entrada 2 2" xfId="1159"/>
    <cellStyle name="Entrada 2 2 2" xfId="1160"/>
    <cellStyle name="Entrada 2 2 3" xfId="1161"/>
    <cellStyle name="Entrada 2 3" xfId="1162"/>
    <cellStyle name="Entrada 2 4" xfId="1163"/>
    <cellStyle name="Entrada 2 5" xfId="1164"/>
    <cellStyle name="Entrada 2 6" xfId="1165"/>
    <cellStyle name="Entrada 2 7" xfId="1166"/>
    <cellStyle name="Entrada 2 8" xfId="1167"/>
    <cellStyle name="Entrada 3" xfId="1168"/>
    <cellStyle name="Entrada 3 2" xfId="1169"/>
    <cellStyle name="Entrada 3 3" xfId="1170"/>
    <cellStyle name="Entrada 3 4" xfId="1171"/>
    <cellStyle name="Entrada 3 5" xfId="1172"/>
    <cellStyle name="Entrada 4" xfId="1173"/>
    <cellStyle name="Entrada 4 2" xfId="1174"/>
    <cellStyle name="Entrada 4 3" xfId="1175"/>
    <cellStyle name="Entrada 4 4" xfId="1176"/>
    <cellStyle name="Entrada 4 5" xfId="1177"/>
    <cellStyle name="Entrada 5" xfId="1178"/>
    <cellStyle name="Entrada 6" xfId="1179"/>
    <cellStyle name="Entrada 7" xfId="1180"/>
    <cellStyle name="ESPECM" xfId="1181"/>
    <cellStyle name="Estilo 1" xfId="1182"/>
    <cellStyle name="Estilo 1 10" xfId="1183"/>
    <cellStyle name="Estilo 1 11" xfId="1184"/>
    <cellStyle name="Estilo 1 2" xfId="1185"/>
    <cellStyle name="Estilo 1 2 2" xfId="1186"/>
    <cellStyle name="Estilo 1 2_OC-196-10.C-LEGRAND-SPRINKLER-interno1" xfId="1187"/>
    <cellStyle name="Estilo 1 3" xfId="1188"/>
    <cellStyle name="Estilo 1 4" xfId="1189"/>
    <cellStyle name="Estilo 1 5" xfId="1190"/>
    <cellStyle name="Estilo 1 6" xfId="1191"/>
    <cellStyle name="Estilo 1 7" xfId="1192"/>
    <cellStyle name="Estilo 1 8" xfId="1193"/>
    <cellStyle name="Estilo 1 9" xfId="1194"/>
    <cellStyle name="Estilo 1_135-11-SNR-Planilha de Quantitativos e Serviços" xfId="1195"/>
    <cellStyle name="Euro" xfId="1196"/>
    <cellStyle name="Euro 2" xfId="1197"/>
    <cellStyle name="Euro 3" xfId="1198"/>
    <cellStyle name="Euro_126-10-CESBE - RNEST COQUE - montagem elétrica" xfId="1199"/>
    <cellStyle name="Excel Built-in Normal" xfId="1200"/>
    <cellStyle name="Excel Built-in Normal 1" xfId="1201"/>
    <cellStyle name="Excel Built-in Normal 1 2" xfId="1202"/>
    <cellStyle name="Excel Built-in Normal 1 3" xfId="1203"/>
    <cellStyle name="Excel Built-in Normal 2" xfId="1204"/>
    <cellStyle name="Excel Built-in Normal 2 2" xfId="1205"/>
    <cellStyle name="Excel Built-in Normal 2 3" xfId="1206"/>
    <cellStyle name="Excel Built-in Normal 2 4" xfId="1207"/>
    <cellStyle name="Excel Built-in Normal 3" xfId="1208"/>
    <cellStyle name="Excel Built-in Normal 4" xfId="1209"/>
    <cellStyle name="Excel Built-in Normal 5" xfId="1210"/>
    <cellStyle name="Excel Built-in Normal 6" xfId="1211"/>
    <cellStyle name="Excel Built-in Normal_ ESTRUTURA - 8 A 10" xfId="1212"/>
    <cellStyle name="Explanatory Text" xfId="1213"/>
    <cellStyle name="Explanatory Text 2" xfId="1214"/>
    <cellStyle name="Explanatory Text 2 2" xfId="1215"/>
    <cellStyle name="Explanatory Text 2 3" xfId="1216"/>
    <cellStyle name="Explanatory Text 3" xfId="1217"/>
    <cellStyle name="Explanatory Text 4" xfId="1218"/>
    <cellStyle name="Explanatory Text 5" xfId="1219"/>
    <cellStyle name="Fixed" xfId="1220"/>
    <cellStyle name="Fixed 2" xfId="1221"/>
    <cellStyle name="Fixed 3" xfId="1222"/>
    <cellStyle name="Fixo" xfId="1223"/>
    <cellStyle name="Fixo 2" xfId="1224"/>
    <cellStyle name="Followed Hyperlink" xfId="1225"/>
    <cellStyle name="Good" xfId="1226"/>
    <cellStyle name="Good 2" xfId="1227"/>
    <cellStyle name="Good 2 2" xfId="1228"/>
    <cellStyle name="Good 2 2 2" xfId="1229"/>
    <cellStyle name="Good 2 2 3" xfId="1230"/>
    <cellStyle name="Good 2 3" xfId="1231"/>
    <cellStyle name="Good 2 4" xfId="1232"/>
    <cellStyle name="Good 2 5" xfId="1233"/>
    <cellStyle name="Good 3" xfId="1234"/>
    <cellStyle name="Good 4" xfId="1235"/>
    <cellStyle name="Good 5" xfId="1236"/>
    <cellStyle name="Good 6" xfId="1237"/>
    <cellStyle name="Good_135-11-SNR-Planilha de Quantitativos e Serviços" xfId="1238"/>
    <cellStyle name="Grey" xfId="1239"/>
    <cellStyle name="HEADER" xfId="1240"/>
    <cellStyle name="Heading 1" xfId="1241"/>
    <cellStyle name="Heading 1 2" xfId="1242"/>
    <cellStyle name="Heading 1 2 2" xfId="1243"/>
    <cellStyle name="Heading 1 2 2 2" xfId="1244"/>
    <cellStyle name="Heading 1 2 2 3" xfId="1245"/>
    <cellStyle name="Heading 1 2 3" xfId="1246"/>
    <cellStyle name="Heading 1 2 4" xfId="1247"/>
    <cellStyle name="Heading 1 2 5" xfId="1248"/>
    <cellStyle name="Heading 1 3" xfId="1249"/>
    <cellStyle name="Heading 1 4" xfId="1250"/>
    <cellStyle name="Heading 1 5" xfId="1251"/>
    <cellStyle name="Heading 1 6" xfId="1252"/>
    <cellStyle name="Heading 1_135-11-SNR-Planilha de Quantitativos e Serviços" xfId="1253"/>
    <cellStyle name="Heading 2" xfId="1254"/>
    <cellStyle name="Heading 2 2" xfId="1255"/>
    <cellStyle name="Heading 2 2 2" xfId="1256"/>
    <cellStyle name="Heading 2 2 2 2" xfId="1257"/>
    <cellStyle name="Heading 2 2 2 3" xfId="1258"/>
    <cellStyle name="Heading 2 2 3" xfId="1259"/>
    <cellStyle name="Heading 2 2 4" xfId="1260"/>
    <cellStyle name="Heading 2 2 5" xfId="1261"/>
    <cellStyle name="Heading 2 3" xfId="1262"/>
    <cellStyle name="Heading 2 4" xfId="1263"/>
    <cellStyle name="Heading 2 5" xfId="1264"/>
    <cellStyle name="Heading 2 6" xfId="1265"/>
    <cellStyle name="Heading 2_135-11-SNR-Planilha de Quantitativos e Serviços" xfId="1266"/>
    <cellStyle name="Heading 3" xfId="1267"/>
    <cellStyle name="Heading 3 2" xfId="1268"/>
    <cellStyle name="Heading 3 2 2" xfId="1269"/>
    <cellStyle name="Heading 3 2 3" xfId="1270"/>
    <cellStyle name="Heading 3 3" xfId="1271"/>
    <cellStyle name="Heading 3 4" xfId="1272"/>
    <cellStyle name="Heading 3 5" xfId="1273"/>
    <cellStyle name="Heading 3_135-11-SNR-Planilha de Quantitativos e Serviços" xfId="1274"/>
    <cellStyle name="Heading 4" xfId="1275"/>
    <cellStyle name="Heading 4 2" xfId="1276"/>
    <cellStyle name="Heading 4 2 2" xfId="1277"/>
    <cellStyle name="Heading 4 2 3" xfId="1278"/>
    <cellStyle name="Heading 4 3" xfId="1279"/>
    <cellStyle name="Heading 4 4" xfId="1280"/>
    <cellStyle name="Heading 4 5" xfId="1281"/>
    <cellStyle name="Heading 4_135-11-SNR-Planilha de Quantitativos e Serviços" xfId="1282"/>
    <cellStyle name="Hyperlink" xfId="1283"/>
    <cellStyle name="Hiperlink 2" xfId="1284"/>
    <cellStyle name="Followed Hyperlink" xfId="1285"/>
    <cellStyle name="Hyperlink 2" xfId="1286"/>
    <cellStyle name="Hyperlink 2 2" xfId="1287"/>
    <cellStyle name="Hyperlink 2_OC-196-10.C-LEGRAND-SPRINKLER-interno1" xfId="1288"/>
    <cellStyle name="Incorreto" xfId="1289"/>
    <cellStyle name="Incorreto 2" xfId="1290"/>
    <cellStyle name="Incorreto 2 2" xfId="1291"/>
    <cellStyle name="Incorreto 2 2 2" xfId="1292"/>
    <cellStyle name="Incorreto 2 2 3" xfId="1293"/>
    <cellStyle name="Incorreto 2 3" xfId="1294"/>
    <cellStyle name="Incorreto 2 4" xfId="1295"/>
    <cellStyle name="Incorreto 2 5" xfId="1296"/>
    <cellStyle name="Incorreto 2 6" xfId="1297"/>
    <cellStyle name="Incorreto 2 7" xfId="1298"/>
    <cellStyle name="Incorreto 2 8" xfId="1299"/>
    <cellStyle name="Incorreto 3" xfId="1300"/>
    <cellStyle name="Incorreto 3 2" xfId="1301"/>
    <cellStyle name="Incorreto 3 3" xfId="1302"/>
    <cellStyle name="Incorreto 3 4" xfId="1303"/>
    <cellStyle name="Incorreto 3 5" xfId="1304"/>
    <cellStyle name="Incorreto 4" xfId="1305"/>
    <cellStyle name="Incorreto 4 2" xfId="1306"/>
    <cellStyle name="Incorreto 4 3" xfId="1307"/>
    <cellStyle name="Incorreto 4 4" xfId="1308"/>
    <cellStyle name="Incorreto 4 5" xfId="1309"/>
    <cellStyle name="Incorreto 5" xfId="1310"/>
    <cellStyle name="Incorreto 6" xfId="1311"/>
    <cellStyle name="Incorreto 7" xfId="1312"/>
    <cellStyle name="Indefinido" xfId="1313"/>
    <cellStyle name="Input" xfId="1314"/>
    <cellStyle name="Input [yellow]" xfId="1315"/>
    <cellStyle name="Input 2" xfId="1316"/>
    <cellStyle name="Input 2 2" xfId="1317"/>
    <cellStyle name="Input 2 3" xfId="1318"/>
    <cellStyle name="Input 3" xfId="1319"/>
    <cellStyle name="Input 4" xfId="1320"/>
    <cellStyle name="Input 5" xfId="1321"/>
    <cellStyle name="Input_135-11-SNR-Planilha de Quantitativos e Serviços" xfId="1322"/>
    <cellStyle name="Kurs" xfId="1323"/>
    <cellStyle name="LINHA" xfId="1324"/>
    <cellStyle name="Linked Cell" xfId="1325"/>
    <cellStyle name="Linked Cell 2" xfId="1326"/>
    <cellStyle name="Linked Cell 2 2" xfId="1327"/>
    <cellStyle name="Linked Cell 2 3" xfId="1328"/>
    <cellStyle name="Linked Cell 3" xfId="1329"/>
    <cellStyle name="Linked Cell 4" xfId="1330"/>
    <cellStyle name="Linked Cell 5" xfId="1331"/>
    <cellStyle name="Linked Cell_135-11-SNR-Planilha de Quantitativos e Serviços" xfId="1332"/>
    <cellStyle name="M S SANS SERIF" xfId="1333"/>
    <cellStyle name="Määrittämätön" xfId="1334"/>
    <cellStyle name="MATERIAL" xfId="1335"/>
    <cellStyle name="Model" xfId="1336"/>
    <cellStyle name="Currency" xfId="1337"/>
    <cellStyle name="Currency [0]" xfId="1338"/>
    <cellStyle name="Moeda 10" xfId="1339"/>
    <cellStyle name="Moeda 10 2" xfId="1340"/>
    <cellStyle name="Moeda 10 3" xfId="1341"/>
    <cellStyle name="Moeda 10 4" xfId="1342"/>
    <cellStyle name="Moeda 11" xfId="1343"/>
    <cellStyle name="Moeda 2" xfId="1344"/>
    <cellStyle name="Moeda 2 10" xfId="1345"/>
    <cellStyle name="Moeda 2 2" xfId="1346"/>
    <cellStyle name="Moeda 2 2 2" xfId="1347"/>
    <cellStyle name="Moeda 2 2 2 2" xfId="1348"/>
    <cellStyle name="Moeda 2 2 2 3" xfId="1349"/>
    <cellStyle name="Moeda 2 2 2 4" xfId="1350"/>
    <cellStyle name="Moeda 2 2 2 5" xfId="1351"/>
    <cellStyle name="Moeda 2 2 3" xfId="1352"/>
    <cellStyle name="Moeda 2 2 4" xfId="1353"/>
    <cellStyle name="Moeda 2 2 5" xfId="1354"/>
    <cellStyle name="Moeda 2 2 6" xfId="1355"/>
    <cellStyle name="Moeda 2 2 7" xfId="1356"/>
    <cellStyle name="Moeda 2 2 8" xfId="1357"/>
    <cellStyle name="Moeda 2 3" xfId="1358"/>
    <cellStyle name="Moeda 2 3 2" xfId="1359"/>
    <cellStyle name="Moeda 2 3 3" xfId="1360"/>
    <cellStyle name="Moeda 2 3 4" xfId="1361"/>
    <cellStyle name="Moeda 2 3 5" xfId="1362"/>
    <cellStyle name="Moeda 2 4" xfId="1363"/>
    <cellStyle name="Moeda 2 4 2" xfId="1364"/>
    <cellStyle name="Moeda 2 4 3" xfId="1365"/>
    <cellStyle name="Moeda 2 4 4" xfId="1366"/>
    <cellStyle name="Moeda 2 4 5" xfId="1367"/>
    <cellStyle name="Moeda 2 5" xfId="1368"/>
    <cellStyle name="Moeda 2 5 2" xfId="1369"/>
    <cellStyle name="Moeda 2 5 3" xfId="1370"/>
    <cellStyle name="Moeda 2 5 4" xfId="1371"/>
    <cellStyle name="Moeda 2 5 5" xfId="1372"/>
    <cellStyle name="Moeda 2 6" xfId="1373"/>
    <cellStyle name="Moeda 2 6 2" xfId="1374"/>
    <cellStyle name="Moeda 2 6 3" xfId="1375"/>
    <cellStyle name="Moeda 2 6 4" xfId="1376"/>
    <cellStyle name="Moeda 2 6 5" xfId="1377"/>
    <cellStyle name="Moeda 2 7" xfId="1378"/>
    <cellStyle name="Moeda 2 8" xfId="1379"/>
    <cellStyle name="Moeda 2 9" xfId="1380"/>
    <cellStyle name="Moeda 2_ORÇAMENTO UTILIDADES - SNR - interno" xfId="1381"/>
    <cellStyle name="Moeda 3" xfId="1382"/>
    <cellStyle name="Moeda 3 10" xfId="1383"/>
    <cellStyle name="Moeda 3 2" xfId="1384"/>
    <cellStyle name="Moeda 3 2 2" xfId="1385"/>
    <cellStyle name="Moeda 3 2 2 2" xfId="1386"/>
    <cellStyle name="Moeda 3 2 3" xfId="1387"/>
    <cellStyle name="Moeda 3 2 4" xfId="1388"/>
    <cellStyle name="Moeda 3 2 5" xfId="1389"/>
    <cellStyle name="Moeda 3 3" xfId="1390"/>
    <cellStyle name="Moeda 3 3 2" xfId="1391"/>
    <cellStyle name="Moeda 3 3 3" xfId="1392"/>
    <cellStyle name="Moeda 3 3 4" xfId="1393"/>
    <cellStyle name="Moeda 3 3 5" xfId="1394"/>
    <cellStyle name="Moeda 3 4" xfId="1395"/>
    <cellStyle name="Moeda 3 4 2" xfId="1396"/>
    <cellStyle name="Moeda 3 5" xfId="1397"/>
    <cellStyle name="Moeda 3 6" xfId="1398"/>
    <cellStyle name="Moeda 3 7" xfId="1399"/>
    <cellStyle name="Moeda 3 8" xfId="1400"/>
    <cellStyle name="Moeda 3 9" xfId="1401"/>
    <cellStyle name="Moeda 3_PlanilhaOrcamentaria-170610" xfId="1402"/>
    <cellStyle name="Moeda 4" xfId="1403"/>
    <cellStyle name="Moeda 4 10" xfId="1404"/>
    <cellStyle name="Moeda 4 2" xfId="1405"/>
    <cellStyle name="Moeda 4 2 2" xfId="1406"/>
    <cellStyle name="Moeda 4 2 3" xfId="1407"/>
    <cellStyle name="Moeda 4 2 4" xfId="1408"/>
    <cellStyle name="Moeda 4 2 5" xfId="1409"/>
    <cellStyle name="Moeda 4 3" xfId="1410"/>
    <cellStyle name="Moeda 4 4" xfId="1411"/>
    <cellStyle name="Moeda 4 5" xfId="1412"/>
    <cellStyle name="Moeda 4 6" xfId="1413"/>
    <cellStyle name="Moeda 4 7" xfId="1414"/>
    <cellStyle name="Moeda 4 8" xfId="1415"/>
    <cellStyle name="Moeda 4 9" xfId="1416"/>
    <cellStyle name="Moeda 5" xfId="1417"/>
    <cellStyle name="Moeda 5 2" xfId="1418"/>
    <cellStyle name="Moeda 5 2 2" xfId="1419"/>
    <cellStyle name="Moeda 5 2 3" xfId="1420"/>
    <cellStyle name="Moeda 5 2 4" xfId="1421"/>
    <cellStyle name="Moeda 5 3" xfId="1422"/>
    <cellStyle name="Moeda 5 4" xfId="1423"/>
    <cellStyle name="Moeda 5 5" xfId="1424"/>
    <cellStyle name="Moeda 5 6" xfId="1425"/>
    <cellStyle name="Moeda 5 7" xfId="1426"/>
    <cellStyle name="Moeda 6" xfId="1427"/>
    <cellStyle name="Moeda 6 2" xfId="1428"/>
    <cellStyle name="Moeda 6 3" xfId="1429"/>
    <cellStyle name="Moeda 6 4" xfId="1430"/>
    <cellStyle name="Moeda 7" xfId="1431"/>
    <cellStyle name="Moeda 7 2" xfId="1432"/>
    <cellStyle name="Moeda 7 3" xfId="1433"/>
    <cellStyle name="Moeda 7 4" xfId="1434"/>
    <cellStyle name="Moeda 7 5" xfId="1435"/>
    <cellStyle name="Moeda 8" xfId="1436"/>
    <cellStyle name="Moeda 8 2" xfId="1437"/>
    <cellStyle name="Moeda 9" xfId="1438"/>
    <cellStyle name="Moeda 9 2" xfId="1439"/>
    <cellStyle name="Moeda0" xfId="1440"/>
    <cellStyle name="Neutra" xfId="1441"/>
    <cellStyle name="Neutra 2" xfId="1442"/>
    <cellStyle name="Neutra 2 2" xfId="1443"/>
    <cellStyle name="Neutra 2 2 2" xfId="1444"/>
    <cellStyle name="Neutra 2 2 3" xfId="1445"/>
    <cellStyle name="Neutra 2 3" xfId="1446"/>
    <cellStyle name="Neutra 2 4" xfId="1447"/>
    <cellStyle name="Neutra 2 5" xfId="1448"/>
    <cellStyle name="Neutra 2 6" xfId="1449"/>
    <cellStyle name="Neutra 2 7" xfId="1450"/>
    <cellStyle name="Neutra 2 8" xfId="1451"/>
    <cellStyle name="Neutra 3" xfId="1452"/>
    <cellStyle name="Neutra 3 2" xfId="1453"/>
    <cellStyle name="Neutra 3 3" xfId="1454"/>
    <cellStyle name="Neutra 3 4" xfId="1455"/>
    <cellStyle name="Neutra 3 5" xfId="1456"/>
    <cellStyle name="Neutra 4" xfId="1457"/>
    <cellStyle name="Neutra 4 2" xfId="1458"/>
    <cellStyle name="Neutra 4 3" xfId="1459"/>
    <cellStyle name="Neutra 4 4" xfId="1460"/>
    <cellStyle name="Neutra 4 5" xfId="1461"/>
    <cellStyle name="Neutra 5" xfId="1462"/>
    <cellStyle name="Neutra 6" xfId="1463"/>
    <cellStyle name="Neutra 7" xfId="1464"/>
    <cellStyle name="Neutral" xfId="1465"/>
    <cellStyle name="Neutral 2" xfId="1466"/>
    <cellStyle name="Neutral 2 2" xfId="1467"/>
    <cellStyle name="Neutral 2 3" xfId="1468"/>
    <cellStyle name="Neutral 3" xfId="1469"/>
    <cellStyle name="Neutral 4" xfId="1470"/>
    <cellStyle name="Neutral 5" xfId="1471"/>
    <cellStyle name="Neutral_135-11-SNR-Planilha de Quantitativos e Serviços" xfId="1472"/>
    <cellStyle name="Normal - Style1" xfId="1473"/>
    <cellStyle name="Normal 10" xfId="1474"/>
    <cellStyle name="Normal 10 2" xfId="1475"/>
    <cellStyle name="Normal 10 3" xfId="1476"/>
    <cellStyle name="Normal 10 4" xfId="1477"/>
    <cellStyle name="Normal 10 5" xfId="1478"/>
    <cellStyle name="Normal 100" xfId="1479"/>
    <cellStyle name="Normal 11" xfId="1480"/>
    <cellStyle name="Normal 11 2" xfId="1481"/>
    <cellStyle name="Normal 11 3" xfId="1482"/>
    <cellStyle name="Normal 11 4" xfId="1483"/>
    <cellStyle name="Normal 11 5" xfId="1484"/>
    <cellStyle name="Normal 12" xfId="1485"/>
    <cellStyle name="Normal 12 2" xfId="1486"/>
    <cellStyle name="Normal 12 3" xfId="1487"/>
    <cellStyle name="Normal 12 4" xfId="1488"/>
    <cellStyle name="Normal 12 5" xfId="1489"/>
    <cellStyle name="Normal 13" xfId="1490"/>
    <cellStyle name="Normal 13 2" xfId="1491"/>
    <cellStyle name="Normal 13 3" xfId="1492"/>
    <cellStyle name="Normal 13 4" xfId="1493"/>
    <cellStyle name="Normal 13 5" xfId="1494"/>
    <cellStyle name="Normal 13 6" xfId="1495"/>
    <cellStyle name="Normal 14" xfId="1496"/>
    <cellStyle name="Normal 14 2" xfId="1497"/>
    <cellStyle name="Normal 14 2 2" xfId="1498"/>
    <cellStyle name="Normal 14 3" xfId="1499"/>
    <cellStyle name="Normal 14 3 2" xfId="1500"/>
    <cellStyle name="Normal 14 3 3" xfId="1501"/>
    <cellStyle name="Normal 14 3 4" xfId="1502"/>
    <cellStyle name="Normal 14 3 5" xfId="1503"/>
    <cellStyle name="Normal 14 4" xfId="1504"/>
    <cellStyle name="Normal 14 4 2" xfId="1505"/>
    <cellStyle name="Normal 14 4 3" xfId="1506"/>
    <cellStyle name="Normal 14 4 4" xfId="1507"/>
    <cellStyle name="Normal 14 4 5" xfId="1508"/>
    <cellStyle name="Normal 14 5" xfId="1509"/>
    <cellStyle name="Normal 14 5 2" xfId="1510"/>
    <cellStyle name="Normal 14 5 3" xfId="1511"/>
    <cellStyle name="Normal 14 5 4" xfId="1512"/>
    <cellStyle name="Normal 14 5 5" xfId="1513"/>
    <cellStyle name="Normal 15" xfId="1514"/>
    <cellStyle name="Normal 15 2" xfId="1515"/>
    <cellStyle name="Normal 15 3" xfId="1516"/>
    <cellStyle name="Normal 15 4" xfId="1517"/>
    <cellStyle name="Normal 15 5" xfId="1518"/>
    <cellStyle name="Normal 16" xfId="1519"/>
    <cellStyle name="Normal 16 2" xfId="1520"/>
    <cellStyle name="Normal 16 2 2" xfId="1521"/>
    <cellStyle name="Normal 16 2 2 2" xfId="1522"/>
    <cellStyle name="Normal 16 2 2 3" xfId="1523"/>
    <cellStyle name="Normal 16 2 2 4" xfId="1524"/>
    <cellStyle name="Normal 16 2 2 5" xfId="1525"/>
    <cellStyle name="Normal 16 2 2 6" xfId="1526"/>
    <cellStyle name="Normal 16 2 2 7" xfId="1527"/>
    <cellStyle name="Normal 16 2 3" xfId="1528"/>
    <cellStyle name="Normal 16 2 4" xfId="1529"/>
    <cellStyle name="Normal 16 3" xfId="1530"/>
    <cellStyle name="Normal 16 3 2" xfId="1531"/>
    <cellStyle name="Normal 16 4" xfId="1532"/>
    <cellStyle name="Normal 16 4 2" xfId="1533"/>
    <cellStyle name="Normal 16 5" xfId="1534"/>
    <cellStyle name="Normal 17" xfId="1535"/>
    <cellStyle name="Normal 17 2" xfId="1536"/>
    <cellStyle name="Normal 17 3" xfId="1537"/>
    <cellStyle name="Normal 17 4" xfId="1538"/>
    <cellStyle name="Normal 17 5" xfId="1539"/>
    <cellStyle name="Normal 18" xfId="1540"/>
    <cellStyle name="Normal 18 2" xfId="1541"/>
    <cellStyle name="Normal 18 3" xfId="1542"/>
    <cellStyle name="Normal 18 4" xfId="1543"/>
    <cellStyle name="Normal 18 5" xfId="1544"/>
    <cellStyle name="Normal 19" xfId="1545"/>
    <cellStyle name="Normal 19 2" xfId="1546"/>
    <cellStyle name="Normal 19 3" xfId="1547"/>
    <cellStyle name="Normal 19 4" xfId="1548"/>
    <cellStyle name="Normal 2" xfId="1549"/>
    <cellStyle name="Normal 2 10" xfId="1550"/>
    <cellStyle name="Normal 2 10 2" xfId="1551"/>
    <cellStyle name="Normal 2 11" xfId="1552"/>
    <cellStyle name="Normal 2 11 2" xfId="1553"/>
    <cellStyle name="Normal 2 12" xfId="1554"/>
    <cellStyle name="Normal 2 12 2" xfId="1555"/>
    <cellStyle name="Normal 2 13" xfId="1556"/>
    <cellStyle name="Normal 2 13 2" xfId="1557"/>
    <cellStyle name="Normal 2 14" xfId="1558"/>
    <cellStyle name="Normal 2 14 2" xfId="1559"/>
    <cellStyle name="Normal 2 15" xfId="1560"/>
    <cellStyle name="Normal 2 15 2" xfId="1561"/>
    <cellStyle name="Normal 2 16" xfId="1562"/>
    <cellStyle name="Normal 2 17" xfId="1563"/>
    <cellStyle name="Normal 2 19" xfId="1564"/>
    <cellStyle name="Normal 2 19 2" xfId="1565"/>
    <cellStyle name="Normal 2 2" xfId="1566"/>
    <cellStyle name="Normal 2 2 2" xfId="1567"/>
    <cellStyle name="Normal 2 2 2 2" xfId="1568"/>
    <cellStyle name="Normal 2 2 2 3" xfId="1569"/>
    <cellStyle name="Normal 2 2 2 4" xfId="1570"/>
    <cellStyle name="Normal 2 2 2 5" xfId="1571"/>
    <cellStyle name="Normal 2 2 2 6" xfId="1572"/>
    <cellStyle name="Normal 2 2 2 7" xfId="1573"/>
    <cellStyle name="Normal 2 2 2 8" xfId="1574"/>
    <cellStyle name="Normal 2 2 3" xfId="1575"/>
    <cellStyle name="Normal 2 2 4" xfId="1576"/>
    <cellStyle name="Normal 2 2 5" xfId="1577"/>
    <cellStyle name="Normal 2 2 6" xfId="1578"/>
    <cellStyle name="Normal 2 2 7" xfId="1579"/>
    <cellStyle name="Normal 2 2 8" xfId="1580"/>
    <cellStyle name="Normal 2 2 9" xfId="1581"/>
    <cellStyle name="Normal 2 24" xfId="1582"/>
    <cellStyle name="Normal 2 24 2" xfId="1583"/>
    <cellStyle name="Normal 2 28" xfId="1584"/>
    <cellStyle name="Normal 2 28 2" xfId="1585"/>
    <cellStyle name="Normal 2 3" xfId="1586"/>
    <cellStyle name="Normal 2 3 2" xfId="1587"/>
    <cellStyle name="Normal 2 33" xfId="1588"/>
    <cellStyle name="Normal 2 33 2" xfId="1589"/>
    <cellStyle name="Normal 2 34" xfId="1590"/>
    <cellStyle name="Normal 2 34 2" xfId="1591"/>
    <cellStyle name="Normal 2 35" xfId="1592"/>
    <cellStyle name="Normal 2 35 2" xfId="1593"/>
    <cellStyle name="Normal 2 36" xfId="1594"/>
    <cellStyle name="Normal 2 36 2" xfId="1595"/>
    <cellStyle name="Normal 2 37" xfId="1596"/>
    <cellStyle name="Normal 2 37 2" xfId="1597"/>
    <cellStyle name="Normal 2 4" xfId="1598"/>
    <cellStyle name="Normal 2 4 2" xfId="1599"/>
    <cellStyle name="Normal 2 4 3" xfId="1600"/>
    <cellStyle name="Normal 2 4 4" xfId="1601"/>
    <cellStyle name="Normal 2 4 5" xfId="1602"/>
    <cellStyle name="Normal 2 5" xfId="1603"/>
    <cellStyle name="Normal 2 5 2" xfId="1604"/>
    <cellStyle name="Normal 2 6" xfId="1605"/>
    <cellStyle name="Normal 2 6 2" xfId="1606"/>
    <cellStyle name="Normal 2 7" xfId="1607"/>
    <cellStyle name="Normal 2 7 2" xfId="1608"/>
    <cellStyle name="Normal 2 8" xfId="1609"/>
    <cellStyle name="Normal 2 8 2" xfId="1610"/>
    <cellStyle name="Normal 2 9" xfId="1611"/>
    <cellStyle name="Normal 2 9 2" xfId="1612"/>
    <cellStyle name="Normal 2_013_Globo - Bloco de Apoio" xfId="1613"/>
    <cellStyle name="Normal 20" xfId="1614"/>
    <cellStyle name="Normal 20 2" xfId="1615"/>
    <cellStyle name="Normal 20 3" xfId="1616"/>
    <cellStyle name="Normal 20 4" xfId="1617"/>
    <cellStyle name="Normal 21" xfId="1618"/>
    <cellStyle name="Normal 21 2" xfId="1619"/>
    <cellStyle name="Normal 22" xfId="1620"/>
    <cellStyle name="Normal 22 2" xfId="1621"/>
    <cellStyle name="Normal 23" xfId="1622"/>
    <cellStyle name="Normal 23 2" xfId="1623"/>
    <cellStyle name="Normal 24" xfId="1624"/>
    <cellStyle name="Normal 24 10 2" xfId="1625"/>
    <cellStyle name="Normal 24 2" xfId="1626"/>
    <cellStyle name="Normal 25" xfId="1627"/>
    <cellStyle name="Normal 25 2" xfId="1628"/>
    <cellStyle name="Normal 26" xfId="1629"/>
    <cellStyle name="Normal 26 2" xfId="1630"/>
    <cellStyle name="Normal 27" xfId="1631"/>
    <cellStyle name="Normal 27 2" xfId="1632"/>
    <cellStyle name="Normal 28" xfId="1633"/>
    <cellStyle name="Normal 29" xfId="1634"/>
    <cellStyle name="Normal 3" xfId="1635"/>
    <cellStyle name="Normal 3 2" xfId="1636"/>
    <cellStyle name="Normal 3 2 2" xfId="1637"/>
    <cellStyle name="Normal 3 2 2 2" xfId="1638"/>
    <cellStyle name="Normal 3 2 2 3" xfId="1639"/>
    <cellStyle name="Normal 3 2 2 4" xfId="1640"/>
    <cellStyle name="Normal 3 2 2 5" xfId="1641"/>
    <cellStyle name="Normal 3 2 2 6" xfId="1642"/>
    <cellStyle name="Normal 3 2 2 7" xfId="1643"/>
    <cellStyle name="Normal 3 2 3" xfId="1644"/>
    <cellStyle name="Normal 3 2 4" xfId="1645"/>
    <cellStyle name="Normal 3 2 5" xfId="1646"/>
    <cellStyle name="Normal 3 2 6" xfId="1647"/>
    <cellStyle name="Normal 3 2 7" xfId="1648"/>
    <cellStyle name="Normal 3 2 8" xfId="1649"/>
    <cellStyle name="Normal 3 2 9" xfId="1650"/>
    <cellStyle name="Normal 3 3" xfId="1651"/>
    <cellStyle name="Normal 3 3 2" xfId="1652"/>
    <cellStyle name="Normal 3 4" xfId="1653"/>
    <cellStyle name="Normal 3 5" xfId="1654"/>
    <cellStyle name="Normal 3 6" xfId="1655"/>
    <cellStyle name="Normal 3 7" xfId="1656"/>
    <cellStyle name="Normal 3 8" xfId="1657"/>
    <cellStyle name="Normal 3_013_Globo - Bloco de Apoio" xfId="1658"/>
    <cellStyle name="Normal 30" xfId="1659"/>
    <cellStyle name="Normal 31" xfId="1660"/>
    <cellStyle name="Normal 32" xfId="1661"/>
    <cellStyle name="Normal 33" xfId="1662"/>
    <cellStyle name="Normal 34" xfId="1663"/>
    <cellStyle name="Normal 35" xfId="1664"/>
    <cellStyle name="Normal 35 10 2" xfId="1665"/>
    <cellStyle name="Normal 36" xfId="1666"/>
    <cellStyle name="Normal 36 2" xfId="1667"/>
    <cellStyle name="Normal 37" xfId="1668"/>
    <cellStyle name="Normal 37 2" xfId="1669"/>
    <cellStyle name="Normal 38" xfId="1670"/>
    <cellStyle name="Normal 38 2" xfId="1671"/>
    <cellStyle name="Normal 39" xfId="1672"/>
    <cellStyle name="Normal 4" xfId="1673"/>
    <cellStyle name="Normal 4 2" xfId="1674"/>
    <cellStyle name="Normal 4 2 2" xfId="1675"/>
    <cellStyle name="Normal 4 2 2 2" xfId="1676"/>
    <cellStyle name="Normal 4 2 2 3" xfId="1677"/>
    <cellStyle name="Normal 4 2 2 4" xfId="1678"/>
    <cellStyle name="Normal 4 2 2 5" xfId="1679"/>
    <cellStyle name="Normal 4 2 2 6" xfId="1680"/>
    <cellStyle name="Normal 4 2 2 7" xfId="1681"/>
    <cellStyle name="Normal 4 2 3" xfId="1682"/>
    <cellStyle name="Normal 4 2 4" xfId="1683"/>
    <cellStyle name="Normal 4 2 5" xfId="1684"/>
    <cellStyle name="Normal 4 3" xfId="1685"/>
    <cellStyle name="Normal 4 3 2" xfId="1686"/>
    <cellStyle name="Normal 4 3 2 2" xfId="1687"/>
    <cellStyle name="Normal 4 3 2 3" xfId="1688"/>
    <cellStyle name="Normal 4 3 2 4" xfId="1689"/>
    <cellStyle name="Normal 4 3 2 5" xfId="1690"/>
    <cellStyle name="Normal 4 3 2 6" xfId="1691"/>
    <cellStyle name="Normal 4 3 2 7" xfId="1692"/>
    <cellStyle name="Normal 4 3 3" xfId="1693"/>
    <cellStyle name="Normal 4 3 4" xfId="1694"/>
    <cellStyle name="Normal 4 3 5" xfId="1695"/>
    <cellStyle name="Normal 4 3 6" xfId="1696"/>
    <cellStyle name="Normal 4 3 7" xfId="1697"/>
    <cellStyle name="Normal 4 3 8" xfId="1698"/>
    <cellStyle name="Normal 4 3 9" xfId="1699"/>
    <cellStyle name="Normal 4 4" xfId="1700"/>
    <cellStyle name="Normal 4 4 2" xfId="1701"/>
    <cellStyle name="Normal 4 4 3" xfId="1702"/>
    <cellStyle name="Normal 4 4 4" xfId="1703"/>
    <cellStyle name="Normal 4 4 5" xfId="1704"/>
    <cellStyle name="Normal 4 5" xfId="1705"/>
    <cellStyle name="Normal 4 5 2" xfId="1706"/>
    <cellStyle name="Normal 4 6" xfId="1707"/>
    <cellStyle name="Normal 4 6 2" xfId="1708"/>
    <cellStyle name="Normal 4__ORÇAMENTO" xfId="1709"/>
    <cellStyle name="Normal 4_PLANILHA REFERÊNCIA - MORADIAS OP - 1ª FASE" xfId="1710"/>
    <cellStyle name="Normal 4_PLANILHA REFERÊNCIA - MORADIAS OP - 1ª FASE 2" xfId="1711"/>
    <cellStyle name="Normal 4_Planilhas de Orçamento para Referência - Moradias OP" xfId="1712"/>
    <cellStyle name="Normal 40" xfId="1713"/>
    <cellStyle name="Normal 41" xfId="1714"/>
    <cellStyle name="Normal 42" xfId="1715"/>
    <cellStyle name="Normal 43" xfId="1716"/>
    <cellStyle name="Normal 44" xfId="1717"/>
    <cellStyle name="Normal 45" xfId="1718"/>
    <cellStyle name="Normal 46" xfId="1719"/>
    <cellStyle name="Normal 47" xfId="1720"/>
    <cellStyle name="Normal 48" xfId="1721"/>
    <cellStyle name="Normal 48 2 2" xfId="1722"/>
    <cellStyle name="Normal 49" xfId="1723"/>
    <cellStyle name="Normal 5" xfId="1724"/>
    <cellStyle name="Normal 5 2" xfId="1725"/>
    <cellStyle name="Normal 5 2 2" xfId="1726"/>
    <cellStyle name="Normal 5 2 3" xfId="1727"/>
    <cellStyle name="Normal 5 2 4" xfId="1728"/>
    <cellStyle name="Normal 5 2 5" xfId="1729"/>
    <cellStyle name="Normal 5 2 6" xfId="1730"/>
    <cellStyle name="Normal 5 2 7" xfId="1731"/>
    <cellStyle name="Normal 5 2 8" xfId="1732"/>
    <cellStyle name="Normal 5 3" xfId="1733"/>
    <cellStyle name="Normal 5 3 2" xfId="1734"/>
    <cellStyle name="Normal 5 3 2 2" xfId="1735"/>
    <cellStyle name="Normal 5 3 2 3" xfId="1736"/>
    <cellStyle name="Normal 5 3 2 4" xfId="1737"/>
    <cellStyle name="Normal 5 3 2 5" xfId="1738"/>
    <cellStyle name="Normal 5 3 3" xfId="1739"/>
    <cellStyle name="Normal 5 3 4" xfId="1740"/>
    <cellStyle name="Normal 5 4" xfId="1741"/>
    <cellStyle name="Normal 5 4 2" xfId="1742"/>
    <cellStyle name="Normal 5 5" xfId="1743"/>
    <cellStyle name="Normal 5 6" xfId="1744"/>
    <cellStyle name="Normal 5 7" xfId="1745"/>
    <cellStyle name="Normal 5 8" xfId="1746"/>
    <cellStyle name="Normal 5 9" xfId="1747"/>
    <cellStyle name="Normal 50" xfId="1748"/>
    <cellStyle name="Normal 51" xfId="1749"/>
    <cellStyle name="Normal 52" xfId="1750"/>
    <cellStyle name="Normal 53" xfId="1751"/>
    <cellStyle name="Normal 54" xfId="1752"/>
    <cellStyle name="Normal 55" xfId="1753"/>
    <cellStyle name="Normal 56" xfId="1754"/>
    <cellStyle name="Normal 6" xfId="1755"/>
    <cellStyle name="Normal 6 2" xfId="1756"/>
    <cellStyle name="Normal 6 3" xfId="1757"/>
    <cellStyle name="Normal 6 3 2" xfId="1758"/>
    <cellStyle name="Normal 6 3 3" xfId="1759"/>
    <cellStyle name="Normal 6 3 4" xfId="1760"/>
    <cellStyle name="Normal 6 4" xfId="1761"/>
    <cellStyle name="Normal 6 5" xfId="1762"/>
    <cellStyle name="Normal 6 6" xfId="1763"/>
    <cellStyle name="Normal 6 7" xfId="1764"/>
    <cellStyle name="Normal 6 8" xfId="1765"/>
    <cellStyle name="Normal 6_048- Planilha Ed. Amintas de Barros" xfId="1766"/>
    <cellStyle name="Normal 67 2" xfId="1767"/>
    <cellStyle name="Normal 69 2" xfId="1768"/>
    <cellStyle name="Normal 7" xfId="1769"/>
    <cellStyle name="Normal 7 2" xfId="1770"/>
    <cellStyle name="Normal 7 2 2" xfId="1771"/>
    <cellStyle name="Normal 7 3" xfId="1772"/>
    <cellStyle name="Normal 7 3 2" xfId="1773"/>
    <cellStyle name="Normal 7 4" xfId="1774"/>
    <cellStyle name="Normal 7 4 2" xfId="1775"/>
    <cellStyle name="Normal 7 5" xfId="1776"/>
    <cellStyle name="Normal 70 2" xfId="1777"/>
    <cellStyle name="Normal 79" xfId="1778"/>
    <cellStyle name="Normal 8" xfId="1779"/>
    <cellStyle name="Normal 8 2" xfId="1780"/>
    <cellStyle name="Normal 8 2 2" xfId="1781"/>
    <cellStyle name="Normal 8 3" xfId="1782"/>
    <cellStyle name="Normal 8 3 2" xfId="1783"/>
    <cellStyle name="Normal 8 4" xfId="1784"/>
    <cellStyle name="Normal 8 4 2" xfId="1785"/>
    <cellStyle name="Normal 8 5" xfId="1786"/>
    <cellStyle name="Normal 87" xfId="1787"/>
    <cellStyle name="Normal 9" xfId="1788"/>
    <cellStyle name="Normal 9 2" xfId="1789"/>
    <cellStyle name="Normal 9 2 2" xfId="1790"/>
    <cellStyle name="Normal 9 2 3" xfId="1791"/>
    <cellStyle name="Normal 9 2 4" xfId="1792"/>
    <cellStyle name="Normal 9 2 5" xfId="1793"/>
    <cellStyle name="Normal 9 3" xfId="1794"/>
    <cellStyle name="Normal 9 4" xfId="1795"/>
    <cellStyle name="Normal 9 5" xfId="1796"/>
    <cellStyle name="Normal 9 6" xfId="1797"/>
    <cellStyle name="Normal 9 7" xfId="1798"/>
    <cellStyle name="Normal 9 8" xfId="1799"/>
    <cellStyle name="Normal 9 9" xfId="1800"/>
    <cellStyle name="Normal_ENUT - Planilha Referência de Preço - 270711" xfId="1801"/>
    <cellStyle name="Normal_Museologia Planilha Referência de Preço" xfId="1802"/>
    <cellStyle name="Normal_Plan1" xfId="1803"/>
    <cellStyle name="Normal_Plan1_1" xfId="1804"/>
    <cellStyle name="Normal_Planilha Museologia" xfId="1805"/>
    <cellStyle name="Normal_Planilha_de_referncia 11-07-2011" xfId="1806"/>
    <cellStyle name="Normal_REFERÊNCIA DE PREÇO _EM" xfId="1807"/>
    <cellStyle name="Normal_REFERÊNCIA DE PREÇO _EM 2" xfId="1808"/>
    <cellStyle name="Normal_UFOP-Restaurante-PE-GERAL-PlanilhaOrçamentária Final" xfId="1809"/>
    <cellStyle name="Nota" xfId="1810"/>
    <cellStyle name="Nota 2" xfId="1811"/>
    <cellStyle name="Nota 2 2" xfId="1812"/>
    <cellStyle name="Nota 2 2 2" xfId="1813"/>
    <cellStyle name="Nota 2 2 3" xfId="1814"/>
    <cellStyle name="Nota 2 2 4" xfId="1815"/>
    <cellStyle name="Nota 2 2 5" xfId="1816"/>
    <cellStyle name="Nota 2 2 6" xfId="1817"/>
    <cellStyle name="Nota 2 2 7" xfId="1818"/>
    <cellStyle name="Nota 2 3" xfId="1819"/>
    <cellStyle name="Nota 2 4" xfId="1820"/>
    <cellStyle name="Nota 2 5" xfId="1821"/>
    <cellStyle name="Nota 2 6" xfId="1822"/>
    <cellStyle name="Nota 2 7" xfId="1823"/>
    <cellStyle name="Nota 2 8" xfId="1824"/>
    <cellStyle name="Nota 2 9" xfId="1825"/>
    <cellStyle name="Nota 3" xfId="1826"/>
    <cellStyle name="Nota 3 2" xfId="1827"/>
    <cellStyle name="Nota 3 2 2" xfId="1828"/>
    <cellStyle name="Nota 3 2 3" xfId="1829"/>
    <cellStyle name="Nota 3 2 4" xfId="1830"/>
    <cellStyle name="Nota 3 2 5" xfId="1831"/>
    <cellStyle name="Nota 3 3" xfId="1832"/>
    <cellStyle name="Nota 3 4" xfId="1833"/>
    <cellStyle name="Nota 3 5" xfId="1834"/>
    <cellStyle name="Nota 3 6" xfId="1835"/>
    <cellStyle name="Nota 3 7" xfId="1836"/>
    <cellStyle name="Nota 3 8" xfId="1837"/>
    <cellStyle name="Nota 4" xfId="1838"/>
    <cellStyle name="Nota 4 2" xfId="1839"/>
    <cellStyle name="Nota 4 3" xfId="1840"/>
    <cellStyle name="Nota 4 4" xfId="1841"/>
    <cellStyle name="Nota 4 5" xfId="1842"/>
    <cellStyle name="Nota 5" xfId="1843"/>
    <cellStyle name="Nota 5 2" xfId="1844"/>
    <cellStyle name="Nota 5 3" xfId="1845"/>
    <cellStyle name="Nota 5 4" xfId="1846"/>
    <cellStyle name="Nota 5 5" xfId="1847"/>
    <cellStyle name="Nota 6" xfId="1848"/>
    <cellStyle name="Nota 6 2" xfId="1849"/>
    <cellStyle name="Nota 6 3" xfId="1850"/>
    <cellStyle name="Nota 6 4" xfId="1851"/>
    <cellStyle name="Nota 6 5" xfId="1852"/>
    <cellStyle name="Nota 7" xfId="1853"/>
    <cellStyle name="Nota 8" xfId="1854"/>
    <cellStyle name="Nota 9" xfId="1855"/>
    <cellStyle name="Note" xfId="1856"/>
    <cellStyle name="Note 2" xfId="1857"/>
    <cellStyle name="Note 2 2" xfId="1858"/>
    <cellStyle name="Note 2 3" xfId="1859"/>
    <cellStyle name="Note 2 4" xfId="1860"/>
    <cellStyle name="Note 2 5" xfId="1861"/>
    <cellStyle name="Note 2 6" xfId="1862"/>
    <cellStyle name="Note 2 7" xfId="1863"/>
    <cellStyle name="Note 2 8" xfId="1864"/>
    <cellStyle name="Note 3" xfId="1865"/>
    <cellStyle name="Note 4" xfId="1866"/>
    <cellStyle name="Note 5" xfId="1867"/>
    <cellStyle name="Note 6" xfId="1868"/>
    <cellStyle name="Note 7" xfId="1869"/>
    <cellStyle name="Output" xfId="1870"/>
    <cellStyle name="Output 2" xfId="1871"/>
    <cellStyle name="Output 2 2" xfId="1872"/>
    <cellStyle name="Output 2 3" xfId="1873"/>
    <cellStyle name="Output 3" xfId="1874"/>
    <cellStyle name="Output 4" xfId="1875"/>
    <cellStyle name="Output 5" xfId="1876"/>
    <cellStyle name="Output_135-11-SNR-Planilha de Quantitativos e Serviços" xfId="1877"/>
    <cellStyle name="padroes" xfId="1878"/>
    <cellStyle name="Percent" xfId="1879"/>
    <cellStyle name="Percent [2]" xfId="1880"/>
    <cellStyle name="Percent 10" xfId="1881"/>
    <cellStyle name="Percent 2" xfId="1882"/>
    <cellStyle name="Percent 3" xfId="1883"/>
    <cellStyle name="Percent 4" xfId="1884"/>
    <cellStyle name="Percent 5" xfId="1885"/>
    <cellStyle name="Percent 6" xfId="1886"/>
    <cellStyle name="Percent 7" xfId="1887"/>
    <cellStyle name="Percent 8" xfId="1888"/>
    <cellStyle name="Percent 9" xfId="1889"/>
    <cellStyle name="Percent_027-Planilha Dom Bosco cronograma consolidado" xfId="1890"/>
    <cellStyle name="Percentual" xfId="1891"/>
    <cellStyle name="Percentual 2" xfId="1892"/>
    <cellStyle name="planilhas" xfId="1893"/>
    <cellStyle name="planilhas 2" xfId="1894"/>
    <cellStyle name="planilhas 2 2" xfId="1895"/>
    <cellStyle name="planilhas 3" xfId="1896"/>
    <cellStyle name="planilhas 4" xfId="1897"/>
    <cellStyle name="planilhas 5" xfId="1898"/>
    <cellStyle name="Ponto" xfId="1899"/>
    <cellStyle name="Ponto 2" xfId="1900"/>
    <cellStyle name="Percent" xfId="1901"/>
    <cellStyle name="Porcentagem 2" xfId="1902"/>
    <cellStyle name="Porcentagem 2 2" xfId="1903"/>
    <cellStyle name="Porcentagem 2 2 2" xfId="1904"/>
    <cellStyle name="Porcentagem 2 2 2 2" xfId="1905"/>
    <cellStyle name="Porcentagem 2 2 2 3" xfId="1906"/>
    <cellStyle name="Porcentagem 2 2 3" xfId="1907"/>
    <cellStyle name="Porcentagem 2 2 4" xfId="1908"/>
    <cellStyle name="Porcentagem 2 2 5" xfId="1909"/>
    <cellStyle name="Porcentagem 2 2 6" xfId="1910"/>
    <cellStyle name="Porcentagem 2 2 7" xfId="1911"/>
    <cellStyle name="Porcentagem 2 3" xfId="1912"/>
    <cellStyle name="Porcentagem 2 4" xfId="1913"/>
    <cellStyle name="Porcentagem 2 5" xfId="1914"/>
    <cellStyle name="Porcentagem 2 6" xfId="1915"/>
    <cellStyle name="Porcentagem 2 7" xfId="1916"/>
    <cellStyle name="Porcentagem 2 8" xfId="1917"/>
    <cellStyle name="Porcentagem 2 9" xfId="1918"/>
    <cellStyle name="Porcentagem 3" xfId="1919"/>
    <cellStyle name="Porcentagem 3 2" xfId="1920"/>
    <cellStyle name="Porcentagem 3 2 2" xfId="1921"/>
    <cellStyle name="Porcentagem 3 3" xfId="1922"/>
    <cellStyle name="Porcentagem 3 4" xfId="1923"/>
    <cellStyle name="Porcentagem 4" xfId="1924"/>
    <cellStyle name="Porcentagem 4 2" xfId="1925"/>
    <cellStyle name="Porcentagem 5" xfId="1926"/>
    <cellStyle name="Porcentagem 5 2" xfId="1927"/>
    <cellStyle name="Porcentagem 6" xfId="1928"/>
    <cellStyle name="Porcentagem 7" xfId="1929"/>
    <cellStyle name="Pos" xfId="1930"/>
    <cellStyle name="Preenchimento" xfId="1931"/>
    <cellStyle name="Preis" xfId="1932"/>
    <cellStyle name="Prozent0" xfId="1933"/>
    <cellStyle name="Prozent1" xfId="1934"/>
    <cellStyle name="Saída" xfId="1935"/>
    <cellStyle name="Saída 2" xfId="1936"/>
    <cellStyle name="Saída 2 2" xfId="1937"/>
    <cellStyle name="Saída 2 2 2" xfId="1938"/>
    <cellStyle name="Saída 2 2 3" xfId="1939"/>
    <cellStyle name="Saída 2 3" xfId="1940"/>
    <cellStyle name="Saída 2 4" xfId="1941"/>
    <cellStyle name="Saída 2 5" xfId="1942"/>
    <cellStyle name="Saída 2 6" xfId="1943"/>
    <cellStyle name="Saída 2 7" xfId="1944"/>
    <cellStyle name="Saída 2 8" xfId="1945"/>
    <cellStyle name="Saída 3" xfId="1946"/>
    <cellStyle name="Saída 3 2" xfId="1947"/>
    <cellStyle name="Saída 3 3" xfId="1948"/>
    <cellStyle name="Saída 3 4" xfId="1949"/>
    <cellStyle name="Saída 3 5" xfId="1950"/>
    <cellStyle name="Saída 4" xfId="1951"/>
    <cellStyle name="Saída 4 2" xfId="1952"/>
    <cellStyle name="Saída 4 3" xfId="1953"/>
    <cellStyle name="Saída 4 4" xfId="1954"/>
    <cellStyle name="Saída 4 5" xfId="1955"/>
    <cellStyle name="Saída 5" xfId="1956"/>
    <cellStyle name="Saída 5 2" xfId="1957"/>
    <cellStyle name="Saída 5 3" xfId="1958"/>
    <cellStyle name="Saída 5 4" xfId="1959"/>
    <cellStyle name="Saída 5 5" xfId="1960"/>
    <cellStyle name="Saída 6" xfId="1961"/>
    <cellStyle name="Saída 7" xfId="1962"/>
    <cellStyle name="Separador de m" xfId="1963"/>
    <cellStyle name="Comma [0]" xfId="1964"/>
    <cellStyle name="Separador de milhares 10" xfId="1965"/>
    <cellStyle name="Separador de milhares 10 2" xfId="1966"/>
    <cellStyle name="Separador de milhares 10 2 2" xfId="1967"/>
    <cellStyle name="Separador de milhares 10 2 3" xfId="1968"/>
    <cellStyle name="Separador de milhares 10 2 4" xfId="1969"/>
    <cellStyle name="Separador de milhares 10 2 5" xfId="1970"/>
    <cellStyle name="Separador de milhares 10 2 6" xfId="1971"/>
    <cellStyle name="Separador de milhares 10 3" xfId="1972"/>
    <cellStyle name="Separador de milhares 10 4" xfId="1973"/>
    <cellStyle name="Separador de milhares 10 5" xfId="1974"/>
    <cellStyle name="Separador de milhares 10 6" xfId="1975"/>
    <cellStyle name="Separador de milhares 11" xfId="1976"/>
    <cellStyle name="Separador de milhares 11 2" xfId="1977"/>
    <cellStyle name="Separador de milhares 11 3" xfId="1978"/>
    <cellStyle name="Separador de milhares 11 4" xfId="1979"/>
    <cellStyle name="Separador de milhares 11 5" xfId="1980"/>
    <cellStyle name="Separador de milhares 12" xfId="1981"/>
    <cellStyle name="Separador de milhares 12 2" xfId="1982"/>
    <cellStyle name="Separador de milhares 12 3" xfId="1983"/>
    <cellStyle name="Separador de milhares 12 4" xfId="1984"/>
    <cellStyle name="Separador de milhares 12 5" xfId="1985"/>
    <cellStyle name="Separador de milhares 13" xfId="1986"/>
    <cellStyle name="Separador de milhares 13 2" xfId="1987"/>
    <cellStyle name="Separador de milhares 13 3" xfId="1988"/>
    <cellStyle name="Separador de milhares 13 4" xfId="1989"/>
    <cellStyle name="Separador de milhares 13 5" xfId="1990"/>
    <cellStyle name="Separador de milhares 14" xfId="1991"/>
    <cellStyle name="Separador de milhares 14 2" xfId="1992"/>
    <cellStyle name="Separador de milhares 14 2 2" xfId="1993"/>
    <cellStyle name="Separador de milhares 14 2 3" xfId="1994"/>
    <cellStyle name="Separador de milhares 14 2 4" xfId="1995"/>
    <cellStyle name="Separador de milhares 14 2 5" xfId="1996"/>
    <cellStyle name="Separador de milhares 14 3" xfId="1997"/>
    <cellStyle name="Separador de milhares 14 4" xfId="1998"/>
    <cellStyle name="Separador de milhares 14 5" xfId="1999"/>
    <cellStyle name="Separador de milhares 14 6" xfId="2000"/>
    <cellStyle name="Separador de milhares 15" xfId="2001"/>
    <cellStyle name="Separador de milhares 15 2" xfId="2002"/>
    <cellStyle name="Separador de milhares 15 3" xfId="2003"/>
    <cellStyle name="Separador de milhares 15 4" xfId="2004"/>
    <cellStyle name="Separador de milhares 15 5" xfId="2005"/>
    <cellStyle name="Separador de milhares 16" xfId="2006"/>
    <cellStyle name="Separador de milhares 17" xfId="2007"/>
    <cellStyle name="Separador de milhares 18" xfId="2008"/>
    <cellStyle name="Separador de milhares 18 2" xfId="2009"/>
    <cellStyle name="Separador de milhares 18 3" xfId="2010"/>
    <cellStyle name="Separador de milhares 18 4" xfId="2011"/>
    <cellStyle name="Separador de milhares 18 5" xfId="2012"/>
    <cellStyle name="Separador de milhares 19" xfId="2013"/>
    <cellStyle name="Separador de milhares 2" xfId="2014"/>
    <cellStyle name="Separador de milhares 2 10" xfId="2015"/>
    <cellStyle name="Separador de milhares 2 11" xfId="2016"/>
    <cellStyle name="Separador de milhares 2 12" xfId="2017"/>
    <cellStyle name="Separador de milhares 2 2" xfId="2018"/>
    <cellStyle name="Separador de milhares 2 2 2" xfId="2019"/>
    <cellStyle name="Separador de milhares 2 2 2 2" xfId="2020"/>
    <cellStyle name="Separador de milhares 2 2 2 3" xfId="2021"/>
    <cellStyle name="Separador de milhares 2 2 2 4" xfId="2022"/>
    <cellStyle name="Separador de milhares 2 2 2 5" xfId="2023"/>
    <cellStyle name="Separador de milhares 2 2 2 5 2" xfId="2024"/>
    <cellStyle name="Separador de milhares 2 2 2 5 3" xfId="2025"/>
    <cellStyle name="Separador de milhares 2 2 2 6" xfId="2026"/>
    <cellStyle name="Separador de milhares 2 2 2 7" xfId="2027"/>
    <cellStyle name="Separador de milhares 2 2 2 8" xfId="2028"/>
    <cellStyle name="Separador de milhares 2 2 3" xfId="2029"/>
    <cellStyle name="Separador de milhares 2 2 3 2" xfId="2030"/>
    <cellStyle name="Separador de milhares 2 2 3 3" xfId="2031"/>
    <cellStyle name="Separador de milhares 2 2 3 4" xfId="2032"/>
    <cellStyle name="Separador de milhares 2 2 4" xfId="2033"/>
    <cellStyle name="Separador de milhares 2 2 5" xfId="2034"/>
    <cellStyle name="Separador de milhares 2 2 6" xfId="2035"/>
    <cellStyle name="Separador de milhares 2 2 7" xfId="2036"/>
    <cellStyle name="Separador de milhares 2 2 8" xfId="2037"/>
    <cellStyle name="Separador de milhares 2 2 9" xfId="2038"/>
    <cellStyle name="Separador de milhares 2 3" xfId="2039"/>
    <cellStyle name="Separador de milhares 2 3 2" xfId="2040"/>
    <cellStyle name="Separador de milhares 2 3 3" xfId="2041"/>
    <cellStyle name="Separador de milhares 2 3 4" xfId="2042"/>
    <cellStyle name="Separador de milhares 2 3 5" xfId="2043"/>
    <cellStyle name="Separador de milhares 2 3 6" xfId="2044"/>
    <cellStyle name="Separador de milhares 2 4" xfId="2045"/>
    <cellStyle name="Separador de milhares 2 4 2" xfId="2046"/>
    <cellStyle name="Separador de milhares 2 4 3" xfId="2047"/>
    <cellStyle name="Separador de milhares 2 4 4" xfId="2048"/>
    <cellStyle name="Separador de milhares 2 5" xfId="2049"/>
    <cellStyle name="Separador de milhares 2 5 2" xfId="2050"/>
    <cellStyle name="Separador de milhares 2 5 3" xfId="2051"/>
    <cellStyle name="Separador de milhares 2 5 4" xfId="2052"/>
    <cellStyle name="Separador de milhares 2 6" xfId="2053"/>
    <cellStyle name="Separador de milhares 2 7" xfId="2054"/>
    <cellStyle name="Separador de milhares 2 8" xfId="2055"/>
    <cellStyle name="Separador de milhares 2 9" xfId="2056"/>
    <cellStyle name="Separador de milhares 2_INSTALAÇÕES CLIMATIZAÇÃO - 21" xfId="2057"/>
    <cellStyle name="Separador de milhares 20" xfId="2058"/>
    <cellStyle name="Separador de milhares 20 2" xfId="2059"/>
    <cellStyle name="Separador de milhares 21" xfId="2060"/>
    <cellStyle name="Separador de milhares 21 2" xfId="2061"/>
    <cellStyle name="Separador de milhares 22" xfId="2062"/>
    <cellStyle name="Separador de milhares 22 2" xfId="2063"/>
    <cellStyle name="Separador de milhares 23" xfId="2064"/>
    <cellStyle name="Separador de milhares 23 2" xfId="2065"/>
    <cellStyle name="Separador de milhares 24" xfId="2066"/>
    <cellStyle name="Separador de milhares 24 2" xfId="2067"/>
    <cellStyle name="Separador de milhares 25" xfId="2068"/>
    <cellStyle name="Separador de milhares 26" xfId="2069"/>
    <cellStyle name="Separador de milhares 26 2" xfId="2070"/>
    <cellStyle name="Separador de milhares 3" xfId="2071"/>
    <cellStyle name="Separador de milhares 3 10" xfId="2072"/>
    <cellStyle name="Separador de milhares 3 2" xfId="2073"/>
    <cellStyle name="Separador de milhares 3 2 10" xfId="2074"/>
    <cellStyle name="Separador de milhares 3 2 2" xfId="2075"/>
    <cellStyle name="Separador de milhares 3 2 2 2" xfId="2076"/>
    <cellStyle name="Separador de milhares 3 2 2 2 2" xfId="2077"/>
    <cellStyle name="Separador de milhares 3 2 2 2 3" xfId="2078"/>
    <cellStyle name="Separador de milhares 3 2 2 2 4" xfId="2079"/>
    <cellStyle name="Separador de milhares 3 2 2 2 5" xfId="2080"/>
    <cellStyle name="Separador de milhares 3 2 2 3" xfId="2081"/>
    <cellStyle name="Separador de milhares 3 2 3" xfId="2082"/>
    <cellStyle name="Separador de milhares 3 2 4" xfId="2083"/>
    <cellStyle name="Separador de milhares 3 2 5" xfId="2084"/>
    <cellStyle name="Separador de milhares 3 2 6" xfId="2085"/>
    <cellStyle name="Separador de milhares 3 2 7" xfId="2086"/>
    <cellStyle name="Separador de milhares 3 2 8" xfId="2087"/>
    <cellStyle name="Separador de milhares 3 2 9" xfId="2088"/>
    <cellStyle name="Separador de milhares 3 2_Planilha_de_referncia 11-07-2011" xfId="2089"/>
    <cellStyle name="Separador de milhares 3 3" xfId="2090"/>
    <cellStyle name="Separador de milhares 3 3 2" xfId="2091"/>
    <cellStyle name="Separador de milhares 3 3 3" xfId="2092"/>
    <cellStyle name="Separador de milhares 3 3 4" xfId="2093"/>
    <cellStyle name="Separador de milhares 3 3 5" xfId="2094"/>
    <cellStyle name="Separador de milhares 3 4" xfId="2095"/>
    <cellStyle name="Separador de milhares 3 4 2" xfId="2096"/>
    <cellStyle name="Separador de milhares 3 5" xfId="2097"/>
    <cellStyle name="Separador de milhares 3 5 2" xfId="2098"/>
    <cellStyle name="Separador de milhares 3 6" xfId="2099"/>
    <cellStyle name="Separador de milhares 3 7" xfId="2100"/>
    <cellStyle name="Separador de milhares 3 8" xfId="2101"/>
    <cellStyle name="Separador de milhares 3 9" xfId="2102"/>
    <cellStyle name="Separador de milhares 4" xfId="2103"/>
    <cellStyle name="Separador de milhares 4 2" xfId="2104"/>
    <cellStyle name="Separador de milhares 4 2 2" xfId="2105"/>
    <cellStyle name="Separador de milhares 4 2 2 2" xfId="2106"/>
    <cellStyle name="Separador de milhares 4 2 2 3" xfId="2107"/>
    <cellStyle name="Separador de milhares 4 2 2 4" xfId="2108"/>
    <cellStyle name="Separador de milhares 4 2 2 5" xfId="2109"/>
    <cellStyle name="Separador de milhares 4 2 3" xfId="2110"/>
    <cellStyle name="Separador de milhares 4 2 4" xfId="2111"/>
    <cellStyle name="Separador de milhares 4 2 4 2" xfId="2112"/>
    <cellStyle name="Separador de milhares 4 2 5" xfId="2113"/>
    <cellStyle name="Separador de milhares 4 2 6" xfId="2114"/>
    <cellStyle name="Separador de milhares 4 2 7" xfId="2115"/>
    <cellStyle name="Separador de milhares 4 3" xfId="2116"/>
    <cellStyle name="Separador de milhares 4 3 2" xfId="2117"/>
    <cellStyle name="Separador de milhares 4 4" xfId="2118"/>
    <cellStyle name="Separador de milhares 4 4 2" xfId="2119"/>
    <cellStyle name="Separador de milhares 5" xfId="2120"/>
    <cellStyle name="Separador de milhares 5 2" xfId="2121"/>
    <cellStyle name="Separador de milhares 5 3" xfId="2122"/>
    <cellStyle name="Separador de milhares 5 4" xfId="2123"/>
    <cellStyle name="Separador de milhares 5 5" xfId="2124"/>
    <cellStyle name="Separador de milhares 6" xfId="2125"/>
    <cellStyle name="Separador de milhares 6 2" xfId="2126"/>
    <cellStyle name="Separador de milhares 6 3" xfId="2127"/>
    <cellStyle name="Separador de milhares 6 4" xfId="2128"/>
    <cellStyle name="Separador de milhares 6 5" xfId="2129"/>
    <cellStyle name="Separador de milhares 7" xfId="2130"/>
    <cellStyle name="Separador de milhares 7 2" xfId="2131"/>
    <cellStyle name="Separador de milhares 7 3" xfId="2132"/>
    <cellStyle name="Separador de milhares 7 4" xfId="2133"/>
    <cellStyle name="Separador de milhares 7 5" xfId="2134"/>
    <cellStyle name="Separador de milhares 8" xfId="2135"/>
    <cellStyle name="Separador de milhares 8 2" xfId="2136"/>
    <cellStyle name="Separador de milhares 8 3" xfId="2137"/>
    <cellStyle name="Separador de milhares 8 4" xfId="2138"/>
    <cellStyle name="Separador de milhares 8 5" xfId="2139"/>
    <cellStyle name="Separador de milhares 9" xfId="2140"/>
    <cellStyle name="Separador de milhares 9 2" xfId="2141"/>
    <cellStyle name="Separador de milhares 9 2 2" xfId="2142"/>
    <cellStyle name="Separador de milhares 9 2 3" xfId="2143"/>
    <cellStyle name="Separador de milhares 9 2 4" xfId="2144"/>
    <cellStyle name="Separador de milhares 9 2 5" xfId="2145"/>
    <cellStyle name="Separador de milhares 9 3" xfId="2146"/>
    <cellStyle name="Separador de milhares 9 4" xfId="2147"/>
    <cellStyle name="Separador de milhares 9 5" xfId="2148"/>
    <cellStyle name="Separador de milhares 9 6" xfId="2149"/>
    <cellStyle name="Stück" xfId="2150"/>
    <cellStyle name="Style 1" xfId="2151"/>
    <cellStyle name="subhead" xfId="2152"/>
    <cellStyle name="SUBTIT" xfId="2153"/>
    <cellStyle name="Texto de Aviso" xfId="2154"/>
    <cellStyle name="Texto de Aviso 2" xfId="2155"/>
    <cellStyle name="Texto de Aviso 2 2" xfId="2156"/>
    <cellStyle name="Texto de Aviso 2 3" xfId="2157"/>
    <cellStyle name="Texto de Aviso 2 4" xfId="2158"/>
    <cellStyle name="Texto de Aviso 2 5" xfId="2159"/>
    <cellStyle name="Texto de Aviso 2 6" xfId="2160"/>
    <cellStyle name="Texto de Aviso 2 7" xfId="2161"/>
    <cellStyle name="Texto de Aviso 3" xfId="2162"/>
    <cellStyle name="Texto de Aviso 4" xfId="2163"/>
    <cellStyle name="Texto de Aviso 5" xfId="2164"/>
    <cellStyle name="Texto de Aviso 6" xfId="2165"/>
    <cellStyle name="Texto de Aviso 7" xfId="2166"/>
    <cellStyle name="Texto Explicativo" xfId="2167"/>
    <cellStyle name="Texto Explicativo 2" xfId="2168"/>
    <cellStyle name="Texto Explicativo 2 2" xfId="2169"/>
    <cellStyle name="Texto Explicativo 2 3" xfId="2170"/>
    <cellStyle name="Texto Explicativo 2 4" xfId="2171"/>
    <cellStyle name="Texto Explicativo 2 5" xfId="2172"/>
    <cellStyle name="Texto Explicativo 2 6" xfId="2173"/>
    <cellStyle name="Texto Explicativo 2 7" xfId="2174"/>
    <cellStyle name="Texto Explicativo 3" xfId="2175"/>
    <cellStyle name="Texto Explicativo 4" xfId="2176"/>
    <cellStyle name="Texto Explicativo 5" xfId="2177"/>
    <cellStyle name="Texto Explicativo 6" xfId="2178"/>
    <cellStyle name="Texto Explicativo 7" xfId="2179"/>
    <cellStyle name="Title" xfId="2180"/>
    <cellStyle name="Title 2" xfId="2181"/>
    <cellStyle name="Title 2 2" xfId="2182"/>
    <cellStyle name="Title 2 3" xfId="2183"/>
    <cellStyle name="Title 3" xfId="2184"/>
    <cellStyle name="Title 4" xfId="2185"/>
    <cellStyle name="Title 5" xfId="2186"/>
    <cellStyle name="Title_135-11-SNR-Planilha de Quantitativos e Serviços" xfId="2187"/>
    <cellStyle name="Título" xfId="2188"/>
    <cellStyle name="Título 1" xfId="2189"/>
    <cellStyle name="Título 1 1" xfId="2190"/>
    <cellStyle name="Título 1 1 1" xfId="2191"/>
    <cellStyle name="Título 1 1 1 1" xfId="2192"/>
    <cellStyle name="Título 1 1 1 1 1" xfId="2193"/>
    <cellStyle name="Título 1 1 1 1 1 1" xfId="2194"/>
    <cellStyle name="Título 1 1 1 1 1 1 1" xfId="2195"/>
    <cellStyle name="Título 1 1 1 1 1 1 1 1" xfId="2196"/>
    <cellStyle name="Título 1 1 1 1 1 1 1 1 1" xfId="2197"/>
    <cellStyle name="Título 1 1 1 1 1 1 1 1 1 1" xfId="2198"/>
    <cellStyle name="Título 1 1 1 1 1 1 1 1 1 1 1" xfId="2199"/>
    <cellStyle name="Título 1 1 1 1 1 1 1 1 1 1 1 1" xfId="2200"/>
    <cellStyle name="Título 1 1 1 1 1 1 1 1 1 1 1 1 1" xfId="2201"/>
    <cellStyle name="Título 1 1 1 1 1 1 1 1 1 1 1 1 1 1" xfId="2202"/>
    <cellStyle name="Título 1 1 1 1 1 1 1 1 1 1 1 1 1 1 1" xfId="2203"/>
    <cellStyle name="Título 1 1 1 1 1 1 1 1 1 1 1 1 1 1 1 1" xfId="2204"/>
    <cellStyle name="Título 1 1 1 1 1 1 1 1 1 1 1 1 1 1 1 1 1" xfId="2205"/>
    <cellStyle name="Título 1 1 1 1 1 1 1 1 1 1 1 1 1 1 1 1 1 1" xfId="2206"/>
    <cellStyle name="Título 1 1 1 1 1 1 1 1 1 1 1 1 1 1 1 1 1 1 1" xfId="2207"/>
    <cellStyle name="Título 1 1 1 1 1 1 1 1 1 1 1 1 1 1 1 1 1 1 1 1" xfId="2208"/>
    <cellStyle name="Título 1 1 1 1 1 1 1 1 1 1 1 1 1 1 1 1 1 1 1 1 1" xfId="2209"/>
    <cellStyle name="Título 1 1 1 1 1 1 1 1 1 1 1 1 1 1 1 1 1 1 1 1 1 1" xfId="2210"/>
    <cellStyle name="Título 1 1 1 1 1 1 1 1 1 1 1 1 1 1 1 1 1 1 1 1 1 1 1" xfId="2211"/>
    <cellStyle name="Título 1 1 1 1 1 1 1 1 1 1 1 1 1 1 1 1 1 1 1 1 1 1 1 1" xfId="2212"/>
    <cellStyle name="Título 1 1 1 1 1 1 1 1 1 1 1 1 1 1 1 1 1 1 1 1 1 1 1 1 1" xfId="2213"/>
    <cellStyle name="Título 1 1 1 1 1 1 1 1 1 1 1 1 1 1 1 1 1 1 1 1 1 1 1 1 1 1" xfId="2214"/>
    <cellStyle name="Título 1 1 1 1 1 1 1 1 1 1 1 1 1 1 1 1 1 1 1 1 1 1 1 1 1 1 1" xfId="2215"/>
    <cellStyle name="Título 1 1 1 1 1 1 1 1 1 1 1 1 1 1 1 1 1 1 1 1 1 1 1 1 1 1 1 1" xfId="2216"/>
    <cellStyle name="Título 1 1 1 2" xfId="2217"/>
    <cellStyle name="Título 1 1 1 2 2" xfId="2218"/>
    <cellStyle name="Título 1 1 1 2 3" xfId="2219"/>
    <cellStyle name="Título 1 1 1 3" xfId="2220"/>
    <cellStyle name="Título 1 1 1 4" xfId="2221"/>
    <cellStyle name="Título 1 1 1 5" xfId="2222"/>
    <cellStyle name="Título 1 1 2" xfId="2223"/>
    <cellStyle name="Título 1 1 2 2" xfId="2224"/>
    <cellStyle name="Título 1 1 2 3" xfId="2225"/>
    <cellStyle name="Título 1 1 3" xfId="2226"/>
    <cellStyle name="Título 1 1 4" xfId="2227"/>
    <cellStyle name="Título 1 1 5" xfId="2228"/>
    <cellStyle name="Título 1 1_ ESTRUTURA - 8 A 10" xfId="2229"/>
    <cellStyle name="Título 1 2" xfId="2230"/>
    <cellStyle name="Título 1 2 2" xfId="2231"/>
    <cellStyle name="Título 1 2 2 2" xfId="2232"/>
    <cellStyle name="Título 1 2 2 3" xfId="2233"/>
    <cellStyle name="Título 1 2 3" xfId="2234"/>
    <cellStyle name="Título 1 2 4" xfId="2235"/>
    <cellStyle name="Título 1 2 5" xfId="2236"/>
    <cellStyle name="Título 1 2 6" xfId="2237"/>
    <cellStyle name="Título 1 2 7" xfId="2238"/>
    <cellStyle name="Título 1 2 8" xfId="2239"/>
    <cellStyle name="Título 1 3" xfId="2240"/>
    <cellStyle name="Título 1 3 2" xfId="2241"/>
    <cellStyle name="Título 1 3 3" xfId="2242"/>
    <cellStyle name="Título 1 3 4" xfId="2243"/>
    <cellStyle name="Título 1 3 5" xfId="2244"/>
    <cellStyle name="Título 1 4" xfId="2245"/>
    <cellStyle name="Título 1 4 2" xfId="2246"/>
    <cellStyle name="Título 1 4 3" xfId="2247"/>
    <cellStyle name="Título 1 4 4" xfId="2248"/>
    <cellStyle name="Título 1 4 5" xfId="2249"/>
    <cellStyle name="Título 1 5" xfId="2250"/>
    <cellStyle name="Título 1 6" xfId="2251"/>
    <cellStyle name="Título 1 7" xfId="2252"/>
    <cellStyle name="Título 2" xfId="2253"/>
    <cellStyle name="Título 2 2" xfId="2254"/>
    <cellStyle name="Título 2 2 2" xfId="2255"/>
    <cellStyle name="Título 2 2 2 2" xfId="2256"/>
    <cellStyle name="Título 2 2 2 3" xfId="2257"/>
    <cellStyle name="Título 2 2 3" xfId="2258"/>
    <cellStyle name="Título 2 2 4" xfId="2259"/>
    <cellStyle name="Título 2 2 5" xfId="2260"/>
    <cellStyle name="Título 2 2 6" xfId="2261"/>
    <cellStyle name="Título 2 2 7" xfId="2262"/>
    <cellStyle name="Título 2 3" xfId="2263"/>
    <cellStyle name="Título 2 3 2" xfId="2264"/>
    <cellStyle name="Título 2 3 3" xfId="2265"/>
    <cellStyle name="Título 2 3 4" xfId="2266"/>
    <cellStyle name="Título 2 3 5" xfId="2267"/>
    <cellStyle name="Título 2 4" xfId="2268"/>
    <cellStyle name="Título 2 5" xfId="2269"/>
    <cellStyle name="Título 2 6" xfId="2270"/>
    <cellStyle name="Título 2 7" xfId="2271"/>
    <cellStyle name="Título 3" xfId="2272"/>
    <cellStyle name="Título 3 2" xfId="2273"/>
    <cellStyle name="Título 3 2 2" xfId="2274"/>
    <cellStyle name="Título 3 2 2 2" xfId="2275"/>
    <cellStyle name="Título 3 2 2 3" xfId="2276"/>
    <cellStyle name="Título 3 2 3" xfId="2277"/>
    <cellStyle name="Título 3 2 4" xfId="2278"/>
    <cellStyle name="Título 3 2 5" xfId="2279"/>
    <cellStyle name="Título 3 2 6" xfId="2280"/>
    <cellStyle name="Título 3 2 7" xfId="2281"/>
    <cellStyle name="Título 3 3" xfId="2282"/>
    <cellStyle name="Título 3 3 2" xfId="2283"/>
    <cellStyle name="Título 3 3 3" xfId="2284"/>
    <cellStyle name="Título 3 3 4" xfId="2285"/>
    <cellStyle name="Título 3 3 5" xfId="2286"/>
    <cellStyle name="Título 3 4" xfId="2287"/>
    <cellStyle name="Título 3 5" xfId="2288"/>
    <cellStyle name="Título 3 6" xfId="2289"/>
    <cellStyle name="Título 3 7" xfId="2290"/>
    <cellStyle name="Título 4" xfId="2291"/>
    <cellStyle name="Título 4 2" xfId="2292"/>
    <cellStyle name="Título 4 2 2" xfId="2293"/>
    <cellStyle name="Título 4 2 2 2" xfId="2294"/>
    <cellStyle name="Título 4 2 2 3" xfId="2295"/>
    <cellStyle name="Título 4 2 3" xfId="2296"/>
    <cellStyle name="Título 4 2 4" xfId="2297"/>
    <cellStyle name="Título 4 2 5" xfId="2298"/>
    <cellStyle name="Título 4 2 6" xfId="2299"/>
    <cellStyle name="Título 4 2 7" xfId="2300"/>
    <cellStyle name="Título 4 3" xfId="2301"/>
    <cellStyle name="Título 4 3 2" xfId="2302"/>
    <cellStyle name="Título 4 3 3" xfId="2303"/>
    <cellStyle name="Título 4 3 4" xfId="2304"/>
    <cellStyle name="Título 4 3 5" xfId="2305"/>
    <cellStyle name="Título 4 4" xfId="2306"/>
    <cellStyle name="Título 4 5" xfId="2307"/>
    <cellStyle name="Título 4 6" xfId="2308"/>
    <cellStyle name="Título 4 7" xfId="2309"/>
    <cellStyle name="Título 5" xfId="2310"/>
    <cellStyle name="Título 5 2" xfId="2311"/>
    <cellStyle name="Título 5 3" xfId="2312"/>
    <cellStyle name="Título 5 4" xfId="2313"/>
    <cellStyle name="Título 5 5" xfId="2314"/>
    <cellStyle name="Título 6" xfId="2315"/>
    <cellStyle name="Título 7" xfId="2316"/>
    <cellStyle name="Título 8" xfId="2317"/>
    <cellStyle name="Titulo1" xfId="2318"/>
    <cellStyle name="Titulo1 2" xfId="2319"/>
    <cellStyle name="Titulo2" xfId="2320"/>
    <cellStyle name="Titulo2 2" xfId="2321"/>
    <cellStyle name="Total" xfId="2322"/>
    <cellStyle name="Total 2" xfId="2323"/>
    <cellStyle name="Total 2 2" xfId="2324"/>
    <cellStyle name="Total 2 2 2" xfId="2325"/>
    <cellStyle name="Total 2 2 3" xfId="2326"/>
    <cellStyle name="Total 2 3" xfId="2327"/>
    <cellStyle name="Total 2 4" xfId="2328"/>
    <cellStyle name="Total 2 5" xfId="2329"/>
    <cellStyle name="Total 2 6" xfId="2330"/>
    <cellStyle name="Total 2 7" xfId="2331"/>
    <cellStyle name="Total 3" xfId="2332"/>
    <cellStyle name="Total 3 2" xfId="2333"/>
    <cellStyle name="Total 3 3" xfId="2334"/>
    <cellStyle name="Total 3 4" xfId="2335"/>
    <cellStyle name="Total 3 5" xfId="2336"/>
    <cellStyle name="Total 4" xfId="2337"/>
    <cellStyle name="Total 5" xfId="2338"/>
    <cellStyle name="Total 6" xfId="2339"/>
    <cellStyle name="Total 7" xfId="2340"/>
    <cellStyle name="Comma" xfId="2341"/>
    <cellStyle name="Vírgula 10" xfId="2342"/>
    <cellStyle name="Vírgula 11" xfId="2343"/>
    <cellStyle name="Vírgula 12" xfId="2344"/>
    <cellStyle name="Vírgula 2" xfId="2345"/>
    <cellStyle name="Vírgula 2 2" xfId="2346"/>
    <cellStyle name="Vírgula 2 2 2" xfId="2347"/>
    <cellStyle name="Vírgula 2 2 3" xfId="2348"/>
    <cellStyle name="Vírgula 2 2 4" xfId="2349"/>
    <cellStyle name="Vírgula 2 3" xfId="2350"/>
    <cellStyle name="Vírgula 2 3 2" xfId="2351"/>
    <cellStyle name="Vírgula 2 3 3" xfId="2352"/>
    <cellStyle name="Vírgula 2 3 4" xfId="2353"/>
    <cellStyle name="Vírgula 2 4" xfId="2354"/>
    <cellStyle name="Vírgula 2 5" xfId="2355"/>
    <cellStyle name="Vírgula 2 6" xfId="2356"/>
    <cellStyle name="Vírgula 2 7" xfId="2357"/>
    <cellStyle name="Vírgula 2 8" xfId="2358"/>
    <cellStyle name="Vírgula 2 9" xfId="2359"/>
    <cellStyle name="Vírgula 2_MEGASTORE BALAROTI_ HIDRAULICO E INCÊNDIO (2)" xfId="2360"/>
    <cellStyle name="Vírgula 3" xfId="2361"/>
    <cellStyle name="Vírgula 3 2" xfId="2362"/>
    <cellStyle name="Vírgula 3 3" xfId="2363"/>
    <cellStyle name="Vírgula 3 4" xfId="2364"/>
    <cellStyle name="Vírgula 3 5" xfId="2365"/>
    <cellStyle name="Vírgula 3 6" xfId="2366"/>
    <cellStyle name="Vírgula 4" xfId="2367"/>
    <cellStyle name="Vírgula 4 2" xfId="2368"/>
    <cellStyle name="Vírgula 4 3" xfId="2369"/>
    <cellStyle name="Vírgula 4 4" xfId="2370"/>
    <cellStyle name="Vírgula 5" xfId="2371"/>
    <cellStyle name="Vírgula 6" xfId="2372"/>
    <cellStyle name="Vírgula 7" xfId="2373"/>
    <cellStyle name="Vírgula 8" xfId="2374"/>
    <cellStyle name="Vírgula 9" xfId="2375"/>
    <cellStyle name="Warning Text" xfId="2376"/>
    <cellStyle name="Warning Text 2" xfId="2377"/>
    <cellStyle name="Warning Text 2 2" xfId="2378"/>
    <cellStyle name="Warning Text 2 3" xfId="2379"/>
    <cellStyle name="Warning Text 3" xfId="2380"/>
    <cellStyle name="Warning Text 4" xfId="2381"/>
    <cellStyle name="Warning Text 5" xfId="23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190500</xdr:rowOff>
    </xdr:from>
    <xdr:to>
      <xdr:col>0</xdr:col>
      <xdr:colOff>723900</xdr:colOff>
      <xdr:row>4</xdr:row>
      <xdr:rowOff>85725</xdr:rowOff>
    </xdr:to>
    <xdr:pic>
      <xdr:nvPicPr>
        <xdr:cNvPr id="1" name="Picture 1"/>
        <xdr:cNvPicPr preferRelativeResize="1">
          <a:picLocks noChangeAspect="1"/>
        </xdr:cNvPicPr>
      </xdr:nvPicPr>
      <xdr:blipFill>
        <a:blip r:embed="rId1"/>
        <a:stretch>
          <a:fillRect/>
        </a:stretch>
      </xdr:blipFill>
      <xdr:spPr>
        <a:xfrm>
          <a:off x="190500" y="190500"/>
          <a:ext cx="533400"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1</xdr:col>
      <xdr:colOff>533400</xdr:colOff>
      <xdr:row>4</xdr:row>
      <xdr:rowOff>219075</xdr:rowOff>
    </xdr:to>
    <xdr:pic>
      <xdr:nvPicPr>
        <xdr:cNvPr id="1" name="Picture 1"/>
        <xdr:cNvPicPr preferRelativeResize="1">
          <a:picLocks noChangeAspect="1"/>
        </xdr:cNvPicPr>
      </xdr:nvPicPr>
      <xdr:blipFill>
        <a:blip r:embed="rId1"/>
        <a:stretch>
          <a:fillRect/>
        </a:stretch>
      </xdr:blipFill>
      <xdr:spPr>
        <a:xfrm>
          <a:off x="361950" y="66675"/>
          <a:ext cx="5334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104775</xdr:rowOff>
    </xdr:from>
    <xdr:to>
      <xdr:col>1</xdr:col>
      <xdr:colOff>57150</xdr:colOff>
      <xdr:row>5</xdr:row>
      <xdr:rowOff>9525</xdr:rowOff>
    </xdr:to>
    <xdr:pic>
      <xdr:nvPicPr>
        <xdr:cNvPr id="1" name="Picture 1"/>
        <xdr:cNvPicPr preferRelativeResize="1">
          <a:picLocks noChangeAspect="1"/>
        </xdr:cNvPicPr>
      </xdr:nvPicPr>
      <xdr:blipFill>
        <a:blip r:embed="rId1"/>
        <a:stretch>
          <a:fillRect/>
        </a:stretch>
      </xdr:blipFill>
      <xdr:spPr>
        <a:xfrm>
          <a:off x="238125" y="104775"/>
          <a:ext cx="5334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104775</xdr:rowOff>
    </xdr:from>
    <xdr:to>
      <xdr:col>1</xdr:col>
      <xdr:colOff>57150</xdr:colOff>
      <xdr:row>5</xdr:row>
      <xdr:rowOff>9525</xdr:rowOff>
    </xdr:to>
    <xdr:pic>
      <xdr:nvPicPr>
        <xdr:cNvPr id="1" name="Picture 1"/>
        <xdr:cNvPicPr preferRelativeResize="1">
          <a:picLocks noChangeAspect="1"/>
        </xdr:cNvPicPr>
      </xdr:nvPicPr>
      <xdr:blipFill>
        <a:blip r:embed="rId1"/>
        <a:stretch>
          <a:fillRect/>
        </a:stretch>
      </xdr:blipFill>
      <xdr:spPr>
        <a:xfrm>
          <a:off x="238125" y="104775"/>
          <a:ext cx="5334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1</xdr:col>
      <xdr:colOff>123825</xdr:colOff>
      <xdr:row>4</xdr:row>
      <xdr:rowOff>228600</xdr:rowOff>
    </xdr:to>
    <xdr:pic>
      <xdr:nvPicPr>
        <xdr:cNvPr id="1" name="Picture 1"/>
        <xdr:cNvPicPr preferRelativeResize="1">
          <a:picLocks noChangeAspect="1"/>
        </xdr:cNvPicPr>
      </xdr:nvPicPr>
      <xdr:blipFill>
        <a:blip r:embed="rId1"/>
        <a:stretch>
          <a:fillRect/>
        </a:stretch>
      </xdr:blipFill>
      <xdr:spPr>
        <a:xfrm>
          <a:off x="304800" y="85725"/>
          <a:ext cx="5334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1</xdr:col>
      <xdr:colOff>123825</xdr:colOff>
      <xdr:row>4</xdr:row>
      <xdr:rowOff>228600</xdr:rowOff>
    </xdr:to>
    <xdr:pic>
      <xdr:nvPicPr>
        <xdr:cNvPr id="1" name="Picture 1"/>
        <xdr:cNvPicPr preferRelativeResize="1">
          <a:picLocks noChangeAspect="1"/>
        </xdr:cNvPicPr>
      </xdr:nvPicPr>
      <xdr:blipFill>
        <a:blip r:embed="rId1"/>
        <a:stretch>
          <a:fillRect/>
        </a:stretch>
      </xdr:blipFill>
      <xdr:spPr>
        <a:xfrm>
          <a:off x="304800" y="85725"/>
          <a:ext cx="533400" cy="1133475"/>
        </a:xfrm>
        <a:prstGeom prst="rect">
          <a:avLst/>
        </a:prstGeom>
        <a:noFill/>
        <a:ln w="9525" cmpd="sng">
          <a:noFill/>
        </a:ln>
      </xdr:spPr>
    </xdr:pic>
    <xdr:clientData/>
  </xdr:twoCellAnchor>
  <xdr:twoCellAnchor>
    <xdr:from>
      <xdr:col>1</xdr:col>
      <xdr:colOff>1285875</xdr:colOff>
      <xdr:row>14</xdr:row>
      <xdr:rowOff>0</xdr:rowOff>
    </xdr:from>
    <xdr:to>
      <xdr:col>2</xdr:col>
      <xdr:colOff>28575</xdr:colOff>
      <xdr:row>14</xdr:row>
      <xdr:rowOff>0</xdr:rowOff>
    </xdr:to>
    <xdr:sp>
      <xdr:nvSpPr>
        <xdr:cNvPr id="2" name="Text Box 3"/>
        <xdr:cNvSpPr txBox="1">
          <a:spLocks noChangeArrowheads="1"/>
        </xdr:cNvSpPr>
      </xdr:nvSpPr>
      <xdr:spPr>
        <a:xfrm>
          <a:off x="2000250" y="40576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14</xdr:row>
      <xdr:rowOff>0</xdr:rowOff>
    </xdr:from>
    <xdr:to>
      <xdr:col>2</xdr:col>
      <xdr:colOff>28575</xdr:colOff>
      <xdr:row>14</xdr:row>
      <xdr:rowOff>0</xdr:rowOff>
    </xdr:to>
    <xdr:sp>
      <xdr:nvSpPr>
        <xdr:cNvPr id="3" name="Text Box 4"/>
        <xdr:cNvSpPr txBox="1">
          <a:spLocks noChangeArrowheads="1"/>
        </xdr:cNvSpPr>
      </xdr:nvSpPr>
      <xdr:spPr>
        <a:xfrm>
          <a:off x="2000250" y="40576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14</xdr:row>
      <xdr:rowOff>0</xdr:rowOff>
    </xdr:from>
    <xdr:to>
      <xdr:col>2</xdr:col>
      <xdr:colOff>28575</xdr:colOff>
      <xdr:row>14</xdr:row>
      <xdr:rowOff>0</xdr:rowOff>
    </xdr:to>
    <xdr:sp>
      <xdr:nvSpPr>
        <xdr:cNvPr id="4" name="Text Box 6"/>
        <xdr:cNvSpPr txBox="1">
          <a:spLocks noChangeArrowheads="1"/>
        </xdr:cNvSpPr>
      </xdr:nvSpPr>
      <xdr:spPr>
        <a:xfrm>
          <a:off x="2000250" y="40576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14</xdr:row>
      <xdr:rowOff>0</xdr:rowOff>
    </xdr:from>
    <xdr:to>
      <xdr:col>2</xdr:col>
      <xdr:colOff>28575</xdr:colOff>
      <xdr:row>14</xdr:row>
      <xdr:rowOff>0</xdr:rowOff>
    </xdr:to>
    <xdr:sp>
      <xdr:nvSpPr>
        <xdr:cNvPr id="5" name="Text Box 7"/>
        <xdr:cNvSpPr txBox="1">
          <a:spLocks noChangeArrowheads="1"/>
        </xdr:cNvSpPr>
      </xdr:nvSpPr>
      <xdr:spPr>
        <a:xfrm>
          <a:off x="2000250" y="40576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85725</xdr:rowOff>
    </xdr:from>
    <xdr:to>
      <xdr:col>1</xdr:col>
      <xdr:colOff>123825</xdr:colOff>
      <xdr:row>4</xdr:row>
      <xdr:rowOff>228600</xdr:rowOff>
    </xdr:to>
    <xdr:pic>
      <xdr:nvPicPr>
        <xdr:cNvPr id="1" name="Picture 1"/>
        <xdr:cNvPicPr preferRelativeResize="1">
          <a:picLocks noChangeAspect="1"/>
        </xdr:cNvPicPr>
      </xdr:nvPicPr>
      <xdr:blipFill>
        <a:blip r:embed="rId1"/>
        <a:stretch>
          <a:fillRect/>
        </a:stretch>
      </xdr:blipFill>
      <xdr:spPr>
        <a:xfrm>
          <a:off x="304800" y="85725"/>
          <a:ext cx="5334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76200</xdr:colOff>
      <xdr:row>4</xdr:row>
      <xdr:rowOff>228600</xdr:rowOff>
    </xdr:to>
    <xdr:pic>
      <xdr:nvPicPr>
        <xdr:cNvPr id="1" name="Picture 1"/>
        <xdr:cNvPicPr preferRelativeResize="1">
          <a:picLocks noChangeAspect="1"/>
        </xdr:cNvPicPr>
      </xdr:nvPicPr>
      <xdr:blipFill>
        <a:blip r:embed="rId1"/>
        <a:stretch>
          <a:fillRect/>
        </a:stretch>
      </xdr:blipFill>
      <xdr:spPr>
        <a:xfrm>
          <a:off x="257175" y="85725"/>
          <a:ext cx="533400"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Users\DELL-27HX0Q1\Desktop\Renan\CDs%20LICITA&#199;&#195;O\CD%20LICITA&#199;&#195;O%20-%20AUDIT&#211;RIO%20-%20ICEA%2015-10-2013\Planilhas\Planilha%20de%20Refer&#234;ncia%20de%20Pre&#231;o%20Audit&#243;rio%20Bloco%20Administrativo%20-%2016-1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RAL"/>
      <sheetName val="1-GERENCIAMENTO DE OBRAS"/>
      <sheetName val="2-SERVIÇOS PRELIMINARES"/>
      <sheetName val="3-ALVENARIA-VEDAÇÃO-DIVISÓRIA"/>
      <sheetName val="4-REVESTIMENTOS"/>
      <sheetName val="5-ESQUADRIAS"/>
      <sheetName val="6-VIDROS"/>
      <sheetName val="7-PINTURA"/>
      <sheetName val="8-IMPERMEABILIZAÇÃO, ISOLAÇÃO"/>
      <sheetName val="9-SERVIÇOS COMPLEMENTARES"/>
      <sheetName val="10-INSTALAÇÕES ELÉTRICAS"/>
      <sheetName val="11-INSTALAÇÕES LÓGICA-TELEFONIA"/>
      <sheetName val="12-INSTALAÇÕES COMBATE INCÊNDIO"/>
      <sheetName val="13-PAISAGISMO-URBANIZAÇÃO"/>
      <sheetName val="CRONOGRAMA"/>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furukawa.com.br/br/produtos/conectividade-optica/distribuidor-optico-ou-bastidor-de-emenda/dio-gerenciavel-8x8-lc-duplex-790.html"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zoomScale="90" zoomScaleNormal="90" zoomScalePageLayoutView="0" workbookViewId="0" topLeftCell="A1">
      <selection activeCell="L33" sqref="L33"/>
    </sheetView>
  </sheetViews>
  <sheetFormatPr defaultColWidth="9.140625" defaultRowHeight="12.75"/>
  <cols>
    <col min="1" max="1" width="12.7109375" style="0" customWidth="1"/>
    <col min="2" max="2" width="95.7109375" style="0" customWidth="1"/>
    <col min="3" max="3" width="25.7109375" style="0" customWidth="1"/>
  </cols>
  <sheetData>
    <row r="1" spans="1:3" s="9" customFormat="1" ht="24.75" customHeight="1">
      <c r="A1" s="712"/>
      <c r="B1" s="713"/>
      <c r="C1" s="714"/>
    </row>
    <row r="2" spans="1:3" s="9" customFormat="1" ht="24.75" customHeight="1">
      <c r="A2" s="706" t="s">
        <v>2</v>
      </c>
      <c r="B2" s="707"/>
      <c r="C2" s="708"/>
    </row>
    <row r="3" spans="1:3" s="9" customFormat="1" ht="24.75" customHeight="1">
      <c r="A3" s="706" t="s">
        <v>3</v>
      </c>
      <c r="B3" s="707"/>
      <c r="C3" s="708"/>
    </row>
    <row r="4" spans="1:3" s="9" customFormat="1" ht="24.75" customHeight="1">
      <c r="A4" s="706" t="s">
        <v>38</v>
      </c>
      <c r="B4" s="707"/>
      <c r="C4" s="708"/>
    </row>
    <row r="5" spans="1:3" s="9" customFormat="1" ht="24.75" customHeight="1">
      <c r="A5" s="706" t="s">
        <v>48</v>
      </c>
      <c r="B5" s="707"/>
      <c r="C5" s="708"/>
    </row>
    <row r="6" spans="1:3" s="10" customFormat="1" ht="24.75" customHeight="1" thickBot="1">
      <c r="A6" s="709" t="s">
        <v>63</v>
      </c>
      <c r="B6" s="710"/>
      <c r="C6" s="711"/>
    </row>
    <row r="7" spans="1:3" s="12" customFormat="1" ht="24.75" customHeight="1">
      <c r="A7" s="118">
        <v>1</v>
      </c>
      <c r="B7" s="119" t="s">
        <v>49</v>
      </c>
      <c r="C7" s="120">
        <f>'1-GERENC.'!C8:F8</f>
        <v>225305.06038672142</v>
      </c>
    </row>
    <row r="8" spans="1:3" s="12" customFormat="1" ht="24.75" customHeight="1">
      <c r="A8" s="121">
        <v>2</v>
      </c>
      <c r="B8" s="122" t="s">
        <v>64</v>
      </c>
      <c r="C8" s="123">
        <f>'2-PROJETO'!C8:F8</f>
        <v>5964.750000000001</v>
      </c>
    </row>
    <row r="9" spans="1:5" s="12" customFormat="1" ht="24.75" customHeight="1">
      <c r="A9" s="121">
        <v>3</v>
      </c>
      <c r="B9" s="122" t="s">
        <v>22</v>
      </c>
      <c r="C9" s="123">
        <f>'3-S. PRELIMINARES '!C8:F8</f>
        <v>82456.0085625</v>
      </c>
      <c r="D9" s="648"/>
      <c r="E9" s="648"/>
    </row>
    <row r="10" spans="1:5" s="12" customFormat="1" ht="24.75" customHeight="1">
      <c r="A10" s="121">
        <v>4</v>
      </c>
      <c r="B10" s="122" t="s">
        <v>61</v>
      </c>
      <c r="C10" s="123">
        <f>'4-MOV. TERRA'!C8:F8</f>
        <v>4189.521</v>
      </c>
      <c r="D10" s="648"/>
      <c r="E10" s="648"/>
    </row>
    <row r="11" spans="1:5" s="12" customFormat="1" ht="24.75" customHeight="1">
      <c r="A11" s="121">
        <v>5</v>
      </c>
      <c r="B11" s="122" t="s">
        <v>1570</v>
      </c>
      <c r="C11" s="123">
        <f>'5-ALVENARIA'!C8:F8</f>
        <v>38626.79913209583</v>
      </c>
      <c r="D11" s="648"/>
      <c r="E11" s="648"/>
    </row>
    <row r="12" spans="1:5" s="12" customFormat="1" ht="24.75" customHeight="1">
      <c r="A12" s="121">
        <v>6</v>
      </c>
      <c r="B12" s="122" t="s">
        <v>50</v>
      </c>
      <c r="C12" s="123">
        <f>'6-ESQUADRIAS'!C8:F8</f>
        <v>201189.5201435</v>
      </c>
      <c r="D12" s="648"/>
      <c r="E12" s="648"/>
    </row>
    <row r="13" spans="1:5" s="12" customFormat="1" ht="24.75" customHeight="1">
      <c r="A13" s="121">
        <v>7</v>
      </c>
      <c r="B13" s="122" t="s">
        <v>51</v>
      </c>
      <c r="C13" s="123">
        <f>'7-VIDROS'!C8:F8</f>
        <v>1341.388575</v>
      </c>
      <c r="D13" s="648"/>
      <c r="E13" s="648"/>
    </row>
    <row r="14" spans="1:5" s="12" customFormat="1" ht="24.75" customHeight="1">
      <c r="A14" s="121">
        <v>8</v>
      </c>
      <c r="B14" s="122" t="s">
        <v>42</v>
      </c>
      <c r="C14" s="123">
        <f>'8-PINTURA'!C8:F8</f>
        <v>37914.94107142857</v>
      </c>
      <c r="D14" s="648"/>
      <c r="E14" s="648"/>
    </row>
    <row r="15" spans="1:5" s="12" customFormat="1" ht="24.75" customHeight="1">
      <c r="A15" s="121">
        <v>9</v>
      </c>
      <c r="B15" s="122" t="s">
        <v>52</v>
      </c>
      <c r="C15" s="123">
        <f>'9-COBERTURAS'!C8:F8</f>
        <v>208257.90007315323</v>
      </c>
      <c r="D15" s="648"/>
      <c r="E15" s="648"/>
    </row>
    <row r="16" spans="1:5" s="12" customFormat="1" ht="24.75" customHeight="1">
      <c r="A16" s="121">
        <v>10</v>
      </c>
      <c r="B16" s="122" t="s">
        <v>53</v>
      </c>
      <c r="C16" s="123">
        <f>'10-REVEST.'!C8:F8</f>
        <v>150101.76885015</v>
      </c>
      <c r="D16" s="648"/>
      <c r="E16" s="648"/>
    </row>
    <row r="17" spans="1:3" s="12" customFormat="1" ht="24.75" customHeight="1">
      <c r="A17" s="121">
        <v>11</v>
      </c>
      <c r="B17" s="122" t="s">
        <v>39</v>
      </c>
      <c r="C17" s="123">
        <f>'11-I. ELÉTRICAS'!C8:F8</f>
        <v>208745.30000000002</v>
      </c>
    </row>
    <row r="18" spans="1:3" s="2" customFormat="1" ht="24.75" customHeight="1">
      <c r="A18" s="121">
        <v>12</v>
      </c>
      <c r="B18" s="122" t="s">
        <v>54</v>
      </c>
      <c r="C18" s="123">
        <f>'12-SPDA'!C8:F8</f>
        <v>22643.3875</v>
      </c>
    </row>
    <row r="19" spans="1:3" ht="24.75" customHeight="1">
      <c r="A19" s="121">
        <v>13</v>
      </c>
      <c r="B19" s="122" t="s">
        <v>55</v>
      </c>
      <c r="C19" s="123">
        <f>'13-I.TELECOM.'!C8:F8</f>
        <v>62844.917708333334</v>
      </c>
    </row>
    <row r="20" spans="1:3" ht="24.75" customHeight="1">
      <c r="A20" s="121">
        <v>14</v>
      </c>
      <c r="B20" s="122" t="s">
        <v>56</v>
      </c>
      <c r="C20" s="123">
        <f>'14-I.HIDROS.'!C8:F8</f>
        <v>12345.6576967</v>
      </c>
    </row>
    <row r="21" spans="1:3" ht="24.75" customHeight="1">
      <c r="A21" s="121">
        <v>15</v>
      </c>
      <c r="B21" s="122" t="s">
        <v>57</v>
      </c>
      <c r="C21" s="123">
        <f>'15-INCÊNDIO'!C8:F8</f>
        <v>52711.258499999996</v>
      </c>
    </row>
    <row r="22" spans="1:3" ht="24.75" customHeight="1">
      <c r="A22" s="121">
        <v>16</v>
      </c>
      <c r="B22" s="122" t="s">
        <v>58</v>
      </c>
      <c r="C22" s="123">
        <f>'16-CLIMAT.'!C8:F8</f>
        <v>95135.15311666668</v>
      </c>
    </row>
    <row r="23" spans="1:3" ht="24.75" customHeight="1" thickBot="1">
      <c r="A23" s="121">
        <v>17</v>
      </c>
      <c r="B23" s="122" t="s">
        <v>62</v>
      </c>
      <c r="C23" s="123">
        <f>'17-S. COMPLEMENTARES'!C8:F8</f>
        <v>29548.775808723436</v>
      </c>
    </row>
    <row r="24" spans="1:3" ht="30" customHeight="1" thickBot="1">
      <c r="A24" s="715" t="s">
        <v>0</v>
      </c>
      <c r="B24" s="716"/>
      <c r="C24" s="53">
        <f>SUM(C7:C23)</f>
        <v>1439322.1081249726</v>
      </c>
    </row>
    <row r="25" spans="1:3" ht="49.5" customHeight="1" thickBot="1">
      <c r="A25" s="703" t="s">
        <v>1589</v>
      </c>
      <c r="B25" s="704"/>
      <c r="C25" s="705"/>
    </row>
    <row r="26" spans="1:3" ht="12.75">
      <c r="A26" s="4"/>
      <c r="B26" s="3"/>
      <c r="C26" s="8"/>
    </row>
    <row r="27" spans="1:3" ht="18" hidden="1">
      <c r="A27" s="700" t="s">
        <v>1418</v>
      </c>
      <c r="B27" s="701"/>
      <c r="C27" s="702"/>
    </row>
    <row r="28" spans="1:3" ht="19.5" customHeight="1" hidden="1">
      <c r="A28" s="697" t="s">
        <v>1545</v>
      </c>
      <c r="B28" s="698"/>
      <c r="C28" s="699"/>
    </row>
    <row r="29" spans="1:3" ht="19.5" customHeight="1" hidden="1" thickBot="1">
      <c r="A29" s="649" t="s">
        <v>1417</v>
      </c>
      <c r="B29" s="651"/>
      <c r="C29" s="650"/>
    </row>
    <row r="30" spans="1:3" ht="13.5" thickBot="1">
      <c r="A30" s="4"/>
      <c r="B30" s="3"/>
      <c r="C30" s="8"/>
    </row>
    <row r="31" spans="1:3" ht="15.75" thickBot="1">
      <c r="A31" s="687" t="s">
        <v>23</v>
      </c>
      <c r="B31" s="688"/>
      <c r="C31" s="689"/>
    </row>
    <row r="32" spans="1:3" ht="49.5" customHeight="1" thickBot="1">
      <c r="A32" s="49">
        <v>1</v>
      </c>
      <c r="B32" s="690" t="s">
        <v>24</v>
      </c>
      <c r="C32" s="691"/>
    </row>
    <row r="33" spans="1:3" ht="15" thickBot="1">
      <c r="A33" s="692"/>
      <c r="B33" s="693"/>
      <c r="C33" s="693"/>
    </row>
    <row r="34" spans="1:3" ht="99.75" customHeight="1" thickBot="1">
      <c r="A34" s="49">
        <v>2</v>
      </c>
      <c r="B34" s="690" t="s">
        <v>25</v>
      </c>
      <c r="C34" s="694"/>
    </row>
    <row r="35" spans="1:3" ht="15" thickBot="1">
      <c r="A35" s="50"/>
      <c r="B35" s="51"/>
      <c r="C35" s="52"/>
    </row>
    <row r="36" spans="1:3" ht="99.75" customHeight="1" thickBot="1">
      <c r="A36" s="49">
        <v>3</v>
      </c>
      <c r="B36" s="695" t="s">
        <v>26</v>
      </c>
      <c r="C36" s="696"/>
    </row>
    <row r="37" spans="1:3" ht="15" thickBot="1">
      <c r="A37" s="50"/>
      <c r="B37" s="51"/>
      <c r="C37" s="51"/>
    </row>
    <row r="38" spans="1:3" ht="49.5" customHeight="1" thickBot="1">
      <c r="A38" s="49">
        <v>4</v>
      </c>
      <c r="B38" s="695" t="s">
        <v>27</v>
      </c>
      <c r="C38" s="696"/>
    </row>
    <row r="39" ht="18">
      <c r="B39" s="29"/>
    </row>
    <row r="40" ht="18">
      <c r="B40" s="29"/>
    </row>
    <row r="41" ht="18">
      <c r="B41" s="29"/>
    </row>
  </sheetData>
  <sheetProtection password="E5F2" sheet="1" objects="1" scenarios="1" selectLockedCells="1" selectUnlockedCells="1"/>
  <mergeCells count="16">
    <mergeCell ref="A28:C28"/>
    <mergeCell ref="A27:C27"/>
    <mergeCell ref="A25:C25"/>
    <mergeCell ref="A5:C5"/>
    <mergeCell ref="A6:C6"/>
    <mergeCell ref="A1:C1"/>
    <mergeCell ref="A2:C2"/>
    <mergeCell ref="A3:C3"/>
    <mergeCell ref="A4:C4"/>
    <mergeCell ref="A24:B24"/>
    <mergeCell ref="A31:C31"/>
    <mergeCell ref="B32:C32"/>
    <mergeCell ref="A33:C33"/>
    <mergeCell ref="B34:C34"/>
    <mergeCell ref="B36:C36"/>
    <mergeCell ref="B38:C38"/>
  </mergeCells>
  <printOptions horizontalCentered="1"/>
  <pageMargins left="0.3937007874015748" right="0.3937007874015748" top="0.3937007874015748" bottom="0.3937007874015748" header="0.5118110236220472" footer="0.5118110236220472"/>
  <pageSetup fitToHeight="0"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99"/>
  <sheetViews>
    <sheetView zoomScalePageLayoutView="0" workbookViewId="0" topLeftCell="A1">
      <selection activeCell="I84" sqref="I84"/>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 min="10" max="10" width="9.421875" style="0" bestFit="1" customWidth="1"/>
    <col min="14" max="14" width="9.421875" style="0" bestFit="1"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15" s="5" customFormat="1" ht="30" customHeight="1" thickBot="1">
      <c r="A7" s="16" t="s">
        <v>1</v>
      </c>
      <c r="B7" s="17" t="s">
        <v>4</v>
      </c>
      <c r="C7" s="18" t="s">
        <v>35</v>
      </c>
      <c r="D7" s="26" t="s">
        <v>6</v>
      </c>
      <c r="E7" s="27" t="s">
        <v>7</v>
      </c>
      <c r="F7" s="28" t="s">
        <v>8</v>
      </c>
      <c r="G7" s="34"/>
      <c r="I7" s="86"/>
      <c r="J7" s="86"/>
      <c r="K7" s="86"/>
      <c r="L7" s="86"/>
      <c r="M7" s="86"/>
      <c r="N7" s="86"/>
      <c r="O7" s="86"/>
    </row>
    <row r="8" spans="1:7" ht="30" customHeight="1" thickBot="1">
      <c r="A8" s="80">
        <v>9</v>
      </c>
      <c r="B8" s="80" t="str">
        <f>GERAL!B15</f>
        <v>COBERTURA</v>
      </c>
      <c r="C8" s="771">
        <f>SUM(F9:F19)</f>
        <v>208257.90007315323</v>
      </c>
      <c r="D8" s="772"/>
      <c r="E8" s="772"/>
      <c r="F8" s="773"/>
      <c r="G8" s="493" t="s">
        <v>21</v>
      </c>
    </row>
    <row r="9" spans="1:7" ht="25.5">
      <c r="A9" s="364" t="s">
        <v>747</v>
      </c>
      <c r="B9" s="320" t="s">
        <v>114</v>
      </c>
      <c r="C9" s="364" t="s">
        <v>9</v>
      </c>
      <c r="D9" s="157">
        <v>305</v>
      </c>
      <c r="E9" s="158">
        <f>1.25*(14.76+2.92)</f>
        <v>22.1</v>
      </c>
      <c r="F9" s="240">
        <f>D9*E9</f>
        <v>6740.5</v>
      </c>
      <c r="G9" s="626" t="s">
        <v>1571</v>
      </c>
    </row>
    <row r="10" spans="1:11" ht="25.5">
      <c r="A10" s="364" t="s">
        <v>748</v>
      </c>
      <c r="B10" s="410" t="s">
        <v>115</v>
      </c>
      <c r="C10" s="156" t="s">
        <v>44</v>
      </c>
      <c r="D10" s="157">
        <v>64.15</v>
      </c>
      <c r="E10" s="158">
        <f>F34</f>
        <v>153.31936874999997</v>
      </c>
      <c r="F10" s="240">
        <f aca="true" t="shared" si="0" ref="F10:F19">D10*E10</f>
        <v>9835.437505312499</v>
      </c>
      <c r="G10" s="507" t="s">
        <v>33</v>
      </c>
      <c r="H10" s="111"/>
      <c r="I10" s="111"/>
      <c r="J10" s="111"/>
      <c r="K10" s="111"/>
    </row>
    <row r="11" spans="1:11" ht="38.25">
      <c r="A11" s="364" t="s">
        <v>749</v>
      </c>
      <c r="B11" s="410" t="s">
        <v>116</v>
      </c>
      <c r="C11" s="156" t="s">
        <v>44</v>
      </c>
      <c r="D11" s="157">
        <v>6.84</v>
      </c>
      <c r="E11" s="158">
        <f>F46</f>
        <v>211.45986874999997</v>
      </c>
      <c r="F11" s="240">
        <f t="shared" si="0"/>
        <v>1446.3855022499997</v>
      </c>
      <c r="G11" s="507" t="s">
        <v>33</v>
      </c>
      <c r="H11" s="111"/>
      <c r="I11" s="111"/>
      <c r="J11" s="111"/>
      <c r="K11" s="111"/>
    </row>
    <row r="12" spans="1:11" ht="38.25">
      <c r="A12" s="364" t="s">
        <v>750</v>
      </c>
      <c r="B12" s="410" t="s">
        <v>117</v>
      </c>
      <c r="C12" s="156" t="s">
        <v>44</v>
      </c>
      <c r="D12" s="157">
        <v>28.09</v>
      </c>
      <c r="E12" s="158">
        <f>F58</f>
        <v>248.45836874999998</v>
      </c>
      <c r="F12" s="240">
        <f t="shared" si="0"/>
        <v>6979.195578187499</v>
      </c>
      <c r="G12" s="507" t="s">
        <v>33</v>
      </c>
      <c r="H12" s="111"/>
      <c r="I12" s="111"/>
      <c r="J12" s="111"/>
      <c r="K12" s="111"/>
    </row>
    <row r="13" spans="1:11" ht="38.25">
      <c r="A13" s="364" t="s">
        <v>751</v>
      </c>
      <c r="B13" s="410" t="s">
        <v>118</v>
      </c>
      <c r="C13" s="156" t="s">
        <v>44</v>
      </c>
      <c r="D13" s="157">
        <f>7+7+6.84+28.09+8.03+8.03</f>
        <v>64.99</v>
      </c>
      <c r="E13" s="158">
        <f>1.25*24.71</f>
        <v>30.887500000000003</v>
      </c>
      <c r="F13" s="240">
        <f t="shared" si="0"/>
        <v>2007.378625</v>
      </c>
      <c r="G13" s="507" t="s">
        <v>1169</v>
      </c>
      <c r="H13" s="111"/>
      <c r="I13" s="111"/>
      <c r="J13" s="111"/>
      <c r="K13" s="111"/>
    </row>
    <row r="14" spans="1:7" ht="25.5">
      <c r="A14" s="364" t="s">
        <v>752</v>
      </c>
      <c r="B14" s="410" t="s">
        <v>119</v>
      </c>
      <c r="C14" s="156" t="s">
        <v>44</v>
      </c>
      <c r="D14" s="157">
        <f>7.85+10.04+6.84+28.09+10.04</f>
        <v>62.86</v>
      </c>
      <c r="E14" s="158">
        <f>F69</f>
        <v>62.312974999999994</v>
      </c>
      <c r="F14" s="240">
        <f t="shared" si="0"/>
        <v>3916.9936084999995</v>
      </c>
      <c r="G14" s="241" t="s">
        <v>33</v>
      </c>
    </row>
    <row r="15" spans="1:7" ht="51">
      <c r="A15" s="364" t="s">
        <v>753</v>
      </c>
      <c r="B15" s="410" t="s">
        <v>647</v>
      </c>
      <c r="C15" s="159" t="s">
        <v>9</v>
      </c>
      <c r="D15" s="157">
        <f>(24*1.207*8.89)+(6*1.207*7.59)+(53*1.216*3.32)</f>
        <v>526.45966</v>
      </c>
      <c r="E15" s="158">
        <f>1.25*(39.56+16.61)</f>
        <v>70.2125</v>
      </c>
      <c r="F15" s="240">
        <f t="shared" si="0"/>
        <v>36964.04887775</v>
      </c>
      <c r="G15" s="507" t="s">
        <v>1170</v>
      </c>
    </row>
    <row r="16" spans="1:12" ht="51">
      <c r="A16" s="364" t="s">
        <v>754</v>
      </c>
      <c r="B16" s="320" t="s">
        <v>568</v>
      </c>
      <c r="C16" s="156" t="s">
        <v>9</v>
      </c>
      <c r="D16" s="157">
        <f>D15</f>
        <v>526.45966</v>
      </c>
      <c r="E16" s="158">
        <f>F81</f>
        <v>66.53035805968166</v>
      </c>
      <c r="F16" s="240">
        <f t="shared" si="0"/>
        <v>35025.54968377826</v>
      </c>
      <c r="G16" s="507" t="s">
        <v>33</v>
      </c>
      <c r="H16" s="111"/>
      <c r="I16" s="111"/>
      <c r="J16" s="508"/>
      <c r="L16" s="508"/>
    </row>
    <row r="17" spans="1:7" ht="76.5">
      <c r="A17" s="364" t="s">
        <v>755</v>
      </c>
      <c r="B17" s="320" t="s">
        <v>120</v>
      </c>
      <c r="C17" s="159" t="s">
        <v>121</v>
      </c>
      <c r="D17" s="160">
        <v>4</v>
      </c>
      <c r="E17" s="158">
        <f>1.25*24.74</f>
        <v>30.924999999999997</v>
      </c>
      <c r="F17" s="240">
        <f t="shared" si="0"/>
        <v>123.69999999999999</v>
      </c>
      <c r="G17" s="507" t="s">
        <v>1238</v>
      </c>
    </row>
    <row r="18" spans="1:7" ht="25.5">
      <c r="A18" s="364" t="s">
        <v>756</v>
      </c>
      <c r="B18" s="410" t="s">
        <v>1590</v>
      </c>
      <c r="C18" s="159" t="s">
        <v>9</v>
      </c>
      <c r="D18" s="157">
        <f>247.7373+51.642+147.5742</f>
        <v>446.95349999999996</v>
      </c>
      <c r="E18" s="158">
        <f>F90</f>
        <v>208.38424999999995</v>
      </c>
      <c r="F18" s="240">
        <f t="shared" si="0"/>
        <v>93138.06988237497</v>
      </c>
      <c r="G18" s="507" t="s">
        <v>33</v>
      </c>
    </row>
    <row r="19" spans="1:9" ht="51.75" thickBot="1">
      <c r="A19" s="364" t="s">
        <v>757</v>
      </c>
      <c r="B19" s="410" t="s">
        <v>122</v>
      </c>
      <c r="C19" s="411" t="s">
        <v>9</v>
      </c>
      <c r="D19" s="570">
        <v>98</v>
      </c>
      <c r="E19" s="158">
        <f>F99</f>
        <v>123.27184500000001</v>
      </c>
      <c r="F19" s="240">
        <f t="shared" si="0"/>
        <v>12080.64081</v>
      </c>
      <c r="G19" s="509" t="s">
        <v>33</v>
      </c>
      <c r="H19" s="111"/>
      <c r="I19" s="111"/>
    </row>
    <row r="20" spans="1:6" ht="30" customHeight="1" thickBot="1">
      <c r="A20" s="753"/>
      <c r="B20" s="754"/>
      <c r="C20" s="754"/>
      <c r="D20" s="754"/>
      <c r="E20" s="754"/>
      <c r="F20" s="755"/>
    </row>
    <row r="22" spans="1:7" ht="12.75">
      <c r="A22" s="72"/>
      <c r="B22" s="57" t="s">
        <v>28</v>
      </c>
      <c r="C22" s="56"/>
      <c r="D22" s="56"/>
      <c r="E22" s="56"/>
      <c r="F22" s="56"/>
      <c r="G22" s="58"/>
    </row>
    <row r="23" spans="1:7" ht="25.5">
      <c r="A23" s="78" t="s">
        <v>748</v>
      </c>
      <c r="B23" s="494" t="s">
        <v>115</v>
      </c>
      <c r="C23" s="59" t="s">
        <v>35</v>
      </c>
      <c r="D23" s="60" t="s">
        <v>6</v>
      </c>
      <c r="E23" s="61" t="s">
        <v>29</v>
      </c>
      <c r="F23" s="61" t="s">
        <v>8</v>
      </c>
      <c r="G23" s="79" t="s">
        <v>21</v>
      </c>
    </row>
    <row r="24" spans="1:7" ht="25.5">
      <c r="A24" s="412" t="s">
        <v>758</v>
      </c>
      <c r="B24" s="413" t="s">
        <v>358</v>
      </c>
      <c r="C24" s="411" t="s">
        <v>356</v>
      </c>
      <c r="D24" s="414">
        <v>0.161</v>
      </c>
      <c r="E24" s="505">
        <f>1.25*26.92</f>
        <v>33.650000000000006</v>
      </c>
      <c r="F24" s="158">
        <f>D24*E24</f>
        <v>5.417650000000001</v>
      </c>
      <c r="G24" s="627" t="s">
        <v>1171</v>
      </c>
    </row>
    <row r="25" spans="1:7" ht="12.75">
      <c r="A25" s="412" t="s">
        <v>759</v>
      </c>
      <c r="B25" s="413" t="s">
        <v>359</v>
      </c>
      <c r="C25" s="411" t="s">
        <v>41</v>
      </c>
      <c r="D25" s="414">
        <v>0.025</v>
      </c>
      <c r="E25" s="505">
        <f>1.25*8.5</f>
        <v>10.625</v>
      </c>
      <c r="F25" s="158">
        <f aca="true" t="shared" si="1" ref="F25:F33">D25*E25</f>
        <v>0.265625</v>
      </c>
      <c r="G25" s="627" t="s">
        <v>1172</v>
      </c>
    </row>
    <row r="26" spans="1:7" ht="12.75">
      <c r="A26" s="412" t="s">
        <v>760</v>
      </c>
      <c r="B26" s="413" t="s">
        <v>565</v>
      </c>
      <c r="C26" s="411" t="s">
        <v>41</v>
      </c>
      <c r="D26" s="414">
        <v>0.0049</v>
      </c>
      <c r="E26" s="505">
        <f>1.25*35.71</f>
        <v>44.6375</v>
      </c>
      <c r="F26" s="158">
        <f>D26*E26</f>
        <v>0.21872375</v>
      </c>
      <c r="G26" s="627" t="s">
        <v>1173</v>
      </c>
    </row>
    <row r="27" spans="1:7" ht="12.75">
      <c r="A27" s="412" t="s">
        <v>761</v>
      </c>
      <c r="B27" s="413" t="s">
        <v>360</v>
      </c>
      <c r="C27" s="411" t="s">
        <v>41</v>
      </c>
      <c r="D27" s="414">
        <v>0.18</v>
      </c>
      <c r="E27" s="505">
        <f>1.25*103.99</f>
        <v>129.98749999999998</v>
      </c>
      <c r="F27" s="158">
        <f t="shared" si="1"/>
        <v>23.397749999999995</v>
      </c>
      <c r="G27" s="627" t="s">
        <v>1174</v>
      </c>
    </row>
    <row r="28" spans="1:7" ht="12.75">
      <c r="A28" s="412" t="s">
        <v>762</v>
      </c>
      <c r="B28" s="413" t="s">
        <v>566</v>
      </c>
      <c r="C28" s="411" t="s">
        <v>41</v>
      </c>
      <c r="D28" s="414">
        <f>0.85*12.4</f>
        <v>10.54</v>
      </c>
      <c r="E28" s="505">
        <f>1.25*6.82</f>
        <v>8.525</v>
      </c>
      <c r="F28" s="158">
        <f t="shared" si="1"/>
        <v>89.8535</v>
      </c>
      <c r="G28" s="627" t="s">
        <v>1175</v>
      </c>
    </row>
    <row r="29" spans="1:7" ht="12.75">
      <c r="A29" s="412" t="s">
        <v>763</v>
      </c>
      <c r="B29" s="413" t="s">
        <v>349</v>
      </c>
      <c r="C29" s="411" t="s">
        <v>34</v>
      </c>
      <c r="D29" s="414">
        <f>0.633+0.2</f>
        <v>0.833</v>
      </c>
      <c r="E29" s="505">
        <f>1.25*13.76</f>
        <v>17.2</v>
      </c>
      <c r="F29" s="158">
        <f t="shared" si="1"/>
        <v>14.327599999999999</v>
      </c>
      <c r="G29" s="627" t="s">
        <v>1142</v>
      </c>
    </row>
    <row r="30" spans="1:7" ht="12.75">
      <c r="A30" s="412" t="s">
        <v>764</v>
      </c>
      <c r="B30" s="413" t="s">
        <v>357</v>
      </c>
      <c r="C30" s="411" t="s">
        <v>34</v>
      </c>
      <c r="D30" s="414">
        <v>0.539</v>
      </c>
      <c r="E30" s="505">
        <f>1.25*21.31</f>
        <v>26.6375</v>
      </c>
      <c r="F30" s="158">
        <f t="shared" si="1"/>
        <v>14.3576125</v>
      </c>
      <c r="G30" s="627" t="s">
        <v>1176</v>
      </c>
    </row>
    <row r="31" spans="1:7" ht="12.75">
      <c r="A31" s="412" t="s">
        <v>765</v>
      </c>
      <c r="B31" s="504" t="s">
        <v>561</v>
      </c>
      <c r="C31" s="461" t="s">
        <v>34</v>
      </c>
      <c r="D31" s="345">
        <v>0.2</v>
      </c>
      <c r="E31" s="505">
        <f>1.25*19.34</f>
        <v>24.175</v>
      </c>
      <c r="F31" s="158">
        <f t="shared" si="1"/>
        <v>4.835000000000001</v>
      </c>
      <c r="G31" s="364" t="s">
        <v>1150</v>
      </c>
    </row>
    <row r="32" spans="1:7" ht="25.5">
      <c r="A32" s="412" t="s">
        <v>766</v>
      </c>
      <c r="B32" s="413" t="s">
        <v>362</v>
      </c>
      <c r="C32" s="411" t="s">
        <v>354</v>
      </c>
      <c r="D32" s="414">
        <v>0.0132</v>
      </c>
      <c r="E32" s="505">
        <f>1.25*16.77</f>
        <v>20.9625</v>
      </c>
      <c r="F32" s="158">
        <f t="shared" si="1"/>
        <v>0.276705</v>
      </c>
      <c r="G32" s="627" t="s">
        <v>1177</v>
      </c>
    </row>
    <row r="33" spans="1:7" ht="25.5">
      <c r="A33" s="412" t="s">
        <v>767</v>
      </c>
      <c r="B33" s="413" t="s">
        <v>361</v>
      </c>
      <c r="C33" s="411" t="s">
        <v>355</v>
      </c>
      <c r="D33" s="414">
        <v>0.0183</v>
      </c>
      <c r="E33" s="505">
        <f>1.25*16.14</f>
        <v>20.175</v>
      </c>
      <c r="F33" s="158">
        <f t="shared" si="1"/>
        <v>0.36920250000000004</v>
      </c>
      <c r="G33" s="627" t="s">
        <v>1178</v>
      </c>
    </row>
    <row r="34" spans="5:6" ht="15">
      <c r="E34" s="415" t="s">
        <v>10</v>
      </c>
      <c r="F34" s="416">
        <f>SUM(F24:F33)</f>
        <v>153.31936874999997</v>
      </c>
    </row>
    <row r="35" spans="1:7" ht="38.25">
      <c r="A35" s="78" t="s">
        <v>749</v>
      </c>
      <c r="B35" s="494" t="s">
        <v>116</v>
      </c>
      <c r="C35" s="59" t="s">
        <v>35</v>
      </c>
      <c r="D35" s="60" t="s">
        <v>6</v>
      </c>
      <c r="E35" s="61" t="s">
        <v>29</v>
      </c>
      <c r="F35" s="61" t="s">
        <v>8</v>
      </c>
      <c r="G35" s="79" t="s">
        <v>21</v>
      </c>
    </row>
    <row r="36" spans="1:7" ht="25.5">
      <c r="A36" s="412" t="s">
        <v>768</v>
      </c>
      <c r="B36" s="413" t="s">
        <v>358</v>
      </c>
      <c r="C36" s="411" t="s">
        <v>356</v>
      </c>
      <c r="D36" s="414">
        <v>0.161</v>
      </c>
      <c r="E36" s="505">
        <f>1.25*26.92</f>
        <v>33.650000000000006</v>
      </c>
      <c r="F36" s="158">
        <f>D36*E36</f>
        <v>5.417650000000001</v>
      </c>
      <c r="G36" s="627" t="s">
        <v>1171</v>
      </c>
    </row>
    <row r="37" spans="1:7" ht="12.75">
      <c r="A37" s="412" t="s">
        <v>769</v>
      </c>
      <c r="B37" s="413" t="s">
        <v>359</v>
      </c>
      <c r="C37" s="411" t="s">
        <v>41</v>
      </c>
      <c r="D37" s="414">
        <v>0.025</v>
      </c>
      <c r="E37" s="505">
        <f>1.25*8.5</f>
        <v>10.625</v>
      </c>
      <c r="F37" s="158">
        <f>D37*E37</f>
        <v>0.265625</v>
      </c>
      <c r="G37" s="627" t="s">
        <v>1172</v>
      </c>
    </row>
    <row r="38" spans="1:7" ht="12.75">
      <c r="A38" s="412" t="s">
        <v>770</v>
      </c>
      <c r="B38" s="413" t="s">
        <v>565</v>
      </c>
      <c r="C38" s="411" t="s">
        <v>41</v>
      </c>
      <c r="D38" s="414">
        <v>0.0049</v>
      </c>
      <c r="E38" s="505">
        <f>1.25*35.71</f>
        <v>44.6375</v>
      </c>
      <c r="F38" s="158">
        <f>D38*E38</f>
        <v>0.21872375</v>
      </c>
      <c r="G38" s="627" t="s">
        <v>1173</v>
      </c>
    </row>
    <row r="39" spans="1:7" ht="12.75">
      <c r="A39" s="412" t="s">
        <v>771</v>
      </c>
      <c r="B39" s="413" t="s">
        <v>360</v>
      </c>
      <c r="C39" s="411" t="s">
        <v>41</v>
      </c>
      <c r="D39" s="414">
        <v>0.18</v>
      </c>
      <c r="E39" s="505">
        <f>1.25*103.99</f>
        <v>129.98749999999998</v>
      </c>
      <c r="F39" s="158">
        <f aca="true" t="shared" si="2" ref="F39:F45">D39*E39</f>
        <v>23.397749999999995</v>
      </c>
      <c r="G39" s="627" t="s">
        <v>1174</v>
      </c>
    </row>
    <row r="40" spans="1:7" ht="12.75">
      <c r="A40" s="412" t="s">
        <v>772</v>
      </c>
      <c r="B40" s="413" t="s">
        <v>566</v>
      </c>
      <c r="C40" s="411" t="s">
        <v>41</v>
      </c>
      <c r="D40" s="414">
        <f>1.4*12.4</f>
        <v>17.36</v>
      </c>
      <c r="E40" s="505">
        <f>1.25*6.82</f>
        <v>8.525</v>
      </c>
      <c r="F40" s="158">
        <f t="shared" si="2"/>
        <v>147.994</v>
      </c>
      <c r="G40" s="627" t="s">
        <v>1175</v>
      </c>
    </row>
    <row r="41" spans="1:7" ht="12.75">
      <c r="A41" s="412" t="s">
        <v>773</v>
      </c>
      <c r="B41" s="413" t="s">
        <v>349</v>
      </c>
      <c r="C41" s="411" t="s">
        <v>34</v>
      </c>
      <c r="D41" s="414">
        <f>0.633+0.2</f>
        <v>0.833</v>
      </c>
      <c r="E41" s="505">
        <f>1.25*13.76</f>
        <v>17.2</v>
      </c>
      <c r="F41" s="158">
        <f t="shared" si="2"/>
        <v>14.327599999999999</v>
      </c>
      <c r="G41" s="627" t="s">
        <v>1142</v>
      </c>
    </row>
    <row r="42" spans="1:7" ht="12.75">
      <c r="A42" s="412" t="s">
        <v>774</v>
      </c>
      <c r="B42" s="413" t="s">
        <v>357</v>
      </c>
      <c r="C42" s="411" t="s">
        <v>34</v>
      </c>
      <c r="D42" s="414">
        <v>0.539</v>
      </c>
      <c r="E42" s="505">
        <f>1.25*21.31</f>
        <v>26.6375</v>
      </c>
      <c r="F42" s="158">
        <f t="shared" si="2"/>
        <v>14.3576125</v>
      </c>
      <c r="G42" s="627" t="s">
        <v>1176</v>
      </c>
    </row>
    <row r="43" spans="1:7" ht="12.75">
      <c r="A43" s="412" t="s">
        <v>775</v>
      </c>
      <c r="B43" s="504" t="s">
        <v>561</v>
      </c>
      <c r="C43" s="461" t="s">
        <v>34</v>
      </c>
      <c r="D43" s="345">
        <v>0.2</v>
      </c>
      <c r="E43" s="505">
        <f>1.25*19.34</f>
        <v>24.175</v>
      </c>
      <c r="F43" s="158">
        <f t="shared" si="2"/>
        <v>4.835000000000001</v>
      </c>
      <c r="G43" s="364" t="s">
        <v>1150</v>
      </c>
    </row>
    <row r="44" spans="1:7" ht="25.5">
      <c r="A44" s="412" t="s">
        <v>776</v>
      </c>
      <c r="B44" s="413" t="s">
        <v>362</v>
      </c>
      <c r="C44" s="411" t="s">
        <v>354</v>
      </c>
      <c r="D44" s="414">
        <v>0.0132</v>
      </c>
      <c r="E44" s="505">
        <f>1.25*16.77</f>
        <v>20.9625</v>
      </c>
      <c r="F44" s="158">
        <f t="shared" si="2"/>
        <v>0.276705</v>
      </c>
      <c r="G44" s="627" t="s">
        <v>1177</v>
      </c>
    </row>
    <row r="45" spans="1:7" ht="25.5">
      <c r="A45" s="412" t="s">
        <v>777</v>
      </c>
      <c r="B45" s="413" t="s">
        <v>361</v>
      </c>
      <c r="C45" s="411" t="s">
        <v>355</v>
      </c>
      <c r="D45" s="414">
        <v>0.0183</v>
      </c>
      <c r="E45" s="505">
        <f>1.25*16.14</f>
        <v>20.175</v>
      </c>
      <c r="F45" s="158">
        <f t="shared" si="2"/>
        <v>0.36920250000000004</v>
      </c>
      <c r="G45" s="627" t="s">
        <v>1178</v>
      </c>
    </row>
    <row r="46" spans="5:6" ht="15">
      <c r="E46" s="415" t="s">
        <v>10</v>
      </c>
      <c r="F46" s="416">
        <f>SUM(F36:F45)</f>
        <v>211.45986874999997</v>
      </c>
    </row>
    <row r="47" spans="1:7" ht="38.25">
      <c r="A47" s="78" t="s">
        <v>750</v>
      </c>
      <c r="B47" s="494" t="s">
        <v>117</v>
      </c>
      <c r="C47" s="59" t="s">
        <v>35</v>
      </c>
      <c r="D47" s="60" t="s">
        <v>6</v>
      </c>
      <c r="E47" s="61" t="s">
        <v>29</v>
      </c>
      <c r="F47" s="61" t="s">
        <v>8</v>
      </c>
      <c r="G47" s="79" t="s">
        <v>21</v>
      </c>
    </row>
    <row r="48" spans="1:7" ht="25.5">
      <c r="A48" s="412" t="s">
        <v>778</v>
      </c>
      <c r="B48" s="413" t="s">
        <v>358</v>
      </c>
      <c r="C48" s="411" t="s">
        <v>356</v>
      </c>
      <c r="D48" s="414">
        <v>0.161</v>
      </c>
      <c r="E48" s="505">
        <f>1.25*26.92</f>
        <v>33.650000000000006</v>
      </c>
      <c r="F48" s="158">
        <f>D48*E48</f>
        <v>5.417650000000001</v>
      </c>
      <c r="G48" s="627" t="s">
        <v>1171</v>
      </c>
    </row>
    <row r="49" spans="1:7" ht="12.75">
      <c r="A49" s="412" t="s">
        <v>779</v>
      </c>
      <c r="B49" s="413" t="s">
        <v>359</v>
      </c>
      <c r="C49" s="411" t="s">
        <v>41</v>
      </c>
      <c r="D49" s="414">
        <v>0.025</v>
      </c>
      <c r="E49" s="505">
        <f>1.25*8.5</f>
        <v>10.625</v>
      </c>
      <c r="F49" s="158">
        <f>D49*E49</f>
        <v>0.265625</v>
      </c>
      <c r="G49" s="627" t="s">
        <v>1172</v>
      </c>
    </row>
    <row r="50" spans="1:7" ht="12.75">
      <c r="A50" s="412" t="s">
        <v>780</v>
      </c>
      <c r="B50" s="413" t="s">
        <v>565</v>
      </c>
      <c r="C50" s="411" t="s">
        <v>41</v>
      </c>
      <c r="D50" s="414">
        <v>0.0049</v>
      </c>
      <c r="E50" s="505">
        <f>1.25*35.71</f>
        <v>44.6375</v>
      </c>
      <c r="F50" s="158">
        <f>D50*E50</f>
        <v>0.21872375</v>
      </c>
      <c r="G50" s="627" t="s">
        <v>1173</v>
      </c>
    </row>
    <row r="51" spans="1:7" ht="12.75">
      <c r="A51" s="412" t="s">
        <v>781</v>
      </c>
      <c r="B51" s="413" t="s">
        <v>360</v>
      </c>
      <c r="C51" s="411" t="s">
        <v>41</v>
      </c>
      <c r="D51" s="414">
        <v>0.18</v>
      </c>
      <c r="E51" s="505">
        <f>1.25*103.99</f>
        <v>129.98749999999998</v>
      </c>
      <c r="F51" s="158">
        <f aca="true" t="shared" si="3" ref="F51:F57">D51*E51</f>
        <v>23.397749999999995</v>
      </c>
      <c r="G51" s="627" t="s">
        <v>1174</v>
      </c>
    </row>
    <row r="52" spans="1:7" ht="12.75">
      <c r="A52" s="412" t="s">
        <v>782</v>
      </c>
      <c r="B52" s="413" t="s">
        <v>566</v>
      </c>
      <c r="C52" s="411" t="s">
        <v>41</v>
      </c>
      <c r="D52" s="414">
        <f>1.75*12.4</f>
        <v>21.7</v>
      </c>
      <c r="E52" s="505">
        <f>1.25*6.82</f>
        <v>8.525</v>
      </c>
      <c r="F52" s="158">
        <f t="shared" si="3"/>
        <v>184.9925</v>
      </c>
      <c r="G52" s="627" t="s">
        <v>1175</v>
      </c>
    </row>
    <row r="53" spans="1:7" ht="12.75">
      <c r="A53" s="412" t="s">
        <v>783</v>
      </c>
      <c r="B53" s="413" t="s">
        <v>349</v>
      </c>
      <c r="C53" s="411" t="s">
        <v>34</v>
      </c>
      <c r="D53" s="414">
        <f>0.633+0.2</f>
        <v>0.833</v>
      </c>
      <c r="E53" s="505">
        <f>1.25*13.76</f>
        <v>17.2</v>
      </c>
      <c r="F53" s="158">
        <f t="shared" si="3"/>
        <v>14.327599999999999</v>
      </c>
      <c r="G53" s="627" t="s">
        <v>1142</v>
      </c>
    </row>
    <row r="54" spans="1:7" ht="12.75">
      <c r="A54" s="412" t="s">
        <v>784</v>
      </c>
      <c r="B54" s="413" t="s">
        <v>357</v>
      </c>
      <c r="C54" s="411" t="s">
        <v>34</v>
      </c>
      <c r="D54" s="414">
        <v>0.539</v>
      </c>
      <c r="E54" s="505">
        <f>1.25*21.31</f>
        <v>26.6375</v>
      </c>
      <c r="F54" s="158">
        <f t="shared" si="3"/>
        <v>14.3576125</v>
      </c>
      <c r="G54" s="627" t="s">
        <v>1176</v>
      </c>
    </row>
    <row r="55" spans="1:7" ht="12.75">
      <c r="A55" s="412" t="s">
        <v>785</v>
      </c>
      <c r="B55" s="504" t="s">
        <v>561</v>
      </c>
      <c r="C55" s="461" t="s">
        <v>34</v>
      </c>
      <c r="D55" s="345">
        <v>0.2</v>
      </c>
      <c r="E55" s="505">
        <f>1.25*19.34</f>
        <v>24.175</v>
      </c>
      <c r="F55" s="158">
        <f t="shared" si="3"/>
        <v>4.835000000000001</v>
      </c>
      <c r="G55" s="364" t="s">
        <v>1150</v>
      </c>
    </row>
    <row r="56" spans="1:7" ht="25.5">
      <c r="A56" s="412" t="s">
        <v>786</v>
      </c>
      <c r="B56" s="413" t="s">
        <v>362</v>
      </c>
      <c r="C56" s="411" t="s">
        <v>354</v>
      </c>
      <c r="D56" s="414">
        <v>0.0132</v>
      </c>
      <c r="E56" s="505">
        <f>1.25*16.77</f>
        <v>20.9625</v>
      </c>
      <c r="F56" s="158">
        <f t="shared" si="3"/>
        <v>0.276705</v>
      </c>
      <c r="G56" s="627" t="s">
        <v>1177</v>
      </c>
    </row>
    <row r="57" spans="1:7" ht="25.5">
      <c r="A57" s="412" t="s">
        <v>787</v>
      </c>
      <c r="B57" s="413" t="s">
        <v>361</v>
      </c>
      <c r="C57" s="411" t="s">
        <v>355</v>
      </c>
      <c r="D57" s="414">
        <v>0.0183</v>
      </c>
      <c r="E57" s="505">
        <f>1.25*16.14</f>
        <v>20.175</v>
      </c>
      <c r="F57" s="158">
        <f t="shared" si="3"/>
        <v>0.36920250000000004</v>
      </c>
      <c r="G57" s="627" t="s">
        <v>1178</v>
      </c>
    </row>
    <row r="58" spans="5:6" ht="15">
      <c r="E58" s="415" t="s">
        <v>10</v>
      </c>
      <c r="F58" s="416">
        <f>SUM(F48:F57)</f>
        <v>248.45836874999998</v>
      </c>
    </row>
    <row r="59" spans="1:7" ht="25.5">
      <c r="A59" s="78" t="s">
        <v>752</v>
      </c>
      <c r="B59" s="494" t="s">
        <v>119</v>
      </c>
      <c r="C59" s="59" t="s">
        <v>35</v>
      </c>
      <c r="D59" s="60" t="s">
        <v>6</v>
      </c>
      <c r="E59" s="61" t="s">
        <v>29</v>
      </c>
      <c r="F59" s="61" t="s">
        <v>8</v>
      </c>
      <c r="G59" s="79" t="s">
        <v>21</v>
      </c>
    </row>
    <row r="60" spans="1:7" ht="25.5">
      <c r="A60" s="412" t="s">
        <v>788</v>
      </c>
      <c r="B60" s="413" t="s">
        <v>358</v>
      </c>
      <c r="C60" s="411" t="s">
        <v>356</v>
      </c>
      <c r="D60" s="414">
        <v>0.081</v>
      </c>
      <c r="E60" s="505">
        <f>1.25*26.92</f>
        <v>33.650000000000006</v>
      </c>
      <c r="F60" s="158">
        <f>D60*E60</f>
        <v>2.7256500000000004</v>
      </c>
      <c r="G60" s="627" t="s">
        <v>1171</v>
      </c>
    </row>
    <row r="61" spans="1:7" ht="12.75">
      <c r="A61" s="412" t="s">
        <v>789</v>
      </c>
      <c r="B61" s="413" t="s">
        <v>359</v>
      </c>
      <c r="C61" s="411" t="s">
        <v>41</v>
      </c>
      <c r="D61" s="414">
        <v>0.013</v>
      </c>
      <c r="E61" s="505">
        <f>1.25*8.5</f>
        <v>10.625</v>
      </c>
      <c r="F61" s="158">
        <f aca="true" t="shared" si="4" ref="F61:F68">D61*E61</f>
        <v>0.138125</v>
      </c>
      <c r="G61" s="627" t="s">
        <v>1172</v>
      </c>
    </row>
    <row r="62" spans="1:7" ht="12.75">
      <c r="A62" s="412" t="s">
        <v>790</v>
      </c>
      <c r="B62" s="413" t="s">
        <v>567</v>
      </c>
      <c r="C62" s="411" t="s">
        <v>41</v>
      </c>
      <c r="D62" s="414">
        <v>0.0024</v>
      </c>
      <c r="E62" s="505">
        <f>1.25*35.71</f>
        <v>44.6375</v>
      </c>
      <c r="F62" s="158">
        <f t="shared" si="4"/>
        <v>0.10713</v>
      </c>
      <c r="G62" s="627" t="s">
        <v>1173</v>
      </c>
    </row>
    <row r="63" spans="1:7" ht="12.75">
      <c r="A63" s="412" t="s">
        <v>791</v>
      </c>
      <c r="B63" s="413" t="s">
        <v>360</v>
      </c>
      <c r="C63" s="411" t="s">
        <v>41</v>
      </c>
      <c r="D63" s="414">
        <v>0.09</v>
      </c>
      <c r="E63" s="505">
        <f>1.25*103.99</f>
        <v>129.98749999999998</v>
      </c>
      <c r="F63" s="158">
        <f t="shared" si="4"/>
        <v>11.698874999999997</v>
      </c>
      <c r="G63" s="627" t="s">
        <v>1174</v>
      </c>
    </row>
    <row r="64" spans="1:7" ht="12.75">
      <c r="A64" s="412" t="s">
        <v>792</v>
      </c>
      <c r="B64" s="413" t="s">
        <v>353</v>
      </c>
      <c r="C64" s="159" t="s">
        <v>44</v>
      </c>
      <c r="D64" s="160">
        <v>1</v>
      </c>
      <c r="E64" s="505">
        <f>1.25*26.59</f>
        <v>33.2375</v>
      </c>
      <c r="F64" s="158">
        <f>D64*E64</f>
        <v>33.2375</v>
      </c>
      <c r="G64" s="627" t="s">
        <v>1179</v>
      </c>
    </row>
    <row r="65" spans="1:7" ht="12.75">
      <c r="A65" s="412" t="s">
        <v>793</v>
      </c>
      <c r="B65" s="413" t="s">
        <v>349</v>
      </c>
      <c r="C65" s="411" t="s">
        <v>34</v>
      </c>
      <c r="D65" s="414">
        <v>0.371</v>
      </c>
      <c r="E65" s="505">
        <f>1.25*13.76</f>
        <v>17.2</v>
      </c>
      <c r="F65" s="158">
        <f t="shared" si="4"/>
        <v>6.3812</v>
      </c>
      <c r="G65" s="627" t="s">
        <v>1142</v>
      </c>
    </row>
    <row r="66" spans="1:7" ht="12.75">
      <c r="A66" s="412" t="s">
        <v>794</v>
      </c>
      <c r="B66" s="413" t="s">
        <v>357</v>
      </c>
      <c r="C66" s="411" t="s">
        <v>34</v>
      </c>
      <c r="D66" s="414">
        <v>0.277</v>
      </c>
      <c r="E66" s="505">
        <f>1.25*21.31</f>
        <v>26.6375</v>
      </c>
      <c r="F66" s="158">
        <f t="shared" si="4"/>
        <v>7.3785875</v>
      </c>
      <c r="G66" s="627" t="s">
        <v>1176</v>
      </c>
    </row>
    <row r="67" spans="1:7" ht="25.5">
      <c r="A67" s="412" t="s">
        <v>795</v>
      </c>
      <c r="B67" s="413" t="s">
        <v>362</v>
      </c>
      <c r="C67" s="411" t="s">
        <v>354</v>
      </c>
      <c r="D67" s="414">
        <v>0.0132</v>
      </c>
      <c r="E67" s="505">
        <f>1.25*16.77</f>
        <v>20.9625</v>
      </c>
      <c r="F67" s="158">
        <f t="shared" si="4"/>
        <v>0.276705</v>
      </c>
      <c r="G67" s="627" t="s">
        <v>1177</v>
      </c>
    </row>
    <row r="68" spans="1:7" ht="25.5">
      <c r="A68" s="412" t="s">
        <v>796</v>
      </c>
      <c r="B68" s="413" t="s">
        <v>361</v>
      </c>
      <c r="C68" s="411" t="s">
        <v>355</v>
      </c>
      <c r="D68" s="414">
        <v>0.0183</v>
      </c>
      <c r="E68" s="505">
        <f>1.25*16.14</f>
        <v>20.175</v>
      </c>
      <c r="F68" s="158">
        <f t="shared" si="4"/>
        <v>0.36920250000000004</v>
      </c>
      <c r="G68" s="627" t="s">
        <v>1178</v>
      </c>
    </row>
    <row r="69" spans="5:6" ht="15">
      <c r="E69" s="415" t="s">
        <v>10</v>
      </c>
      <c r="F69" s="416">
        <f>SUM(F60:F68)</f>
        <v>62.312974999999994</v>
      </c>
    </row>
    <row r="70" spans="1:7" ht="51">
      <c r="A70" s="78" t="s">
        <v>754</v>
      </c>
      <c r="B70" s="494" t="s">
        <v>568</v>
      </c>
      <c r="C70" s="59" t="s">
        <v>35</v>
      </c>
      <c r="D70" s="60" t="s">
        <v>6</v>
      </c>
      <c r="E70" s="61" t="s">
        <v>29</v>
      </c>
      <c r="F70" s="61" t="s">
        <v>8</v>
      </c>
      <c r="G70" s="79" t="s">
        <v>21</v>
      </c>
    </row>
    <row r="71" spans="1:7" ht="12.75">
      <c r="A71" s="461" t="s">
        <v>797</v>
      </c>
      <c r="B71" s="413" t="s">
        <v>636</v>
      </c>
      <c r="C71" s="411" t="s">
        <v>635</v>
      </c>
      <c r="D71" s="554">
        <v>4.15</v>
      </c>
      <c r="E71" s="505">
        <f>1.25*1.1</f>
        <v>1.375</v>
      </c>
      <c r="F71" s="158">
        <f aca="true" t="shared" si="5" ref="F71:F80">D71*E71</f>
        <v>5.706250000000001</v>
      </c>
      <c r="G71" s="627" t="s">
        <v>1180</v>
      </c>
    </row>
    <row r="72" spans="1:7" ht="12.75">
      <c r="A72" s="461" t="s">
        <v>798</v>
      </c>
      <c r="B72" s="413" t="s">
        <v>649</v>
      </c>
      <c r="C72" s="411" t="s">
        <v>44</v>
      </c>
      <c r="D72" s="554">
        <f>168.9/526.46</f>
        <v>0.32082209474603957</v>
      </c>
      <c r="E72" s="565">
        <f>1.25*56.78</f>
        <v>70.975</v>
      </c>
      <c r="F72" s="158">
        <f t="shared" si="5"/>
        <v>22.770348174600155</v>
      </c>
      <c r="G72" s="627" t="s">
        <v>1181</v>
      </c>
    </row>
    <row r="73" spans="1:7" ht="12.75">
      <c r="A73" s="461" t="s">
        <v>799</v>
      </c>
      <c r="B73" s="413" t="s">
        <v>650</v>
      </c>
      <c r="C73" s="411" t="s">
        <v>44</v>
      </c>
      <c r="D73" s="554">
        <f>93.72/526.46</f>
        <v>0.17801922273297116</v>
      </c>
      <c r="E73" s="565">
        <f>1.25*56.78</f>
        <v>70.975</v>
      </c>
      <c r="F73" s="158">
        <f t="shared" si="5"/>
        <v>12.634914333472627</v>
      </c>
      <c r="G73" s="627" t="s">
        <v>1181</v>
      </c>
    </row>
    <row r="74" spans="1:7" ht="12.75">
      <c r="A74" s="461" t="s">
        <v>800</v>
      </c>
      <c r="B74" s="413" t="s">
        <v>648</v>
      </c>
      <c r="C74" s="411" t="s">
        <v>44</v>
      </c>
      <c r="D74" s="554">
        <f>77/526.46</f>
        <v>0.1462599247806101</v>
      </c>
      <c r="E74" s="565">
        <f>1.25*97.83</f>
        <v>122.2875</v>
      </c>
      <c r="F74" s="158">
        <f t="shared" si="5"/>
        <v>17.885760551608854</v>
      </c>
      <c r="G74" s="627" t="s">
        <v>1182</v>
      </c>
    </row>
    <row r="75" spans="1:7" ht="12.75">
      <c r="A75" s="461" t="s">
        <v>801</v>
      </c>
      <c r="B75" s="564" t="s">
        <v>349</v>
      </c>
      <c r="C75" s="411" t="s">
        <v>34</v>
      </c>
      <c r="D75" s="554">
        <f>0.061+0.073</f>
        <v>0.134</v>
      </c>
      <c r="E75" s="505">
        <f>1.25*13.76</f>
        <v>17.2</v>
      </c>
      <c r="F75" s="566">
        <f t="shared" si="5"/>
        <v>2.3048</v>
      </c>
      <c r="G75" s="627" t="s">
        <v>1142</v>
      </c>
    </row>
    <row r="76" spans="1:7" ht="12.75">
      <c r="A76" s="461" t="s">
        <v>802</v>
      </c>
      <c r="B76" s="413" t="s">
        <v>357</v>
      </c>
      <c r="C76" s="411" t="s">
        <v>34</v>
      </c>
      <c r="D76" s="554">
        <f>0.056+0.116</f>
        <v>0.17200000000000001</v>
      </c>
      <c r="E76" s="505">
        <f>1.25*21.31</f>
        <v>26.6375</v>
      </c>
      <c r="F76" s="158">
        <f t="shared" si="5"/>
        <v>4.581650000000001</v>
      </c>
      <c r="G76" s="627" t="s">
        <v>1176</v>
      </c>
    </row>
    <row r="77" spans="1:7" ht="25.5">
      <c r="A77" s="461" t="s">
        <v>803</v>
      </c>
      <c r="B77" s="413" t="s">
        <v>651</v>
      </c>
      <c r="C77" s="411" t="s">
        <v>354</v>
      </c>
      <c r="D77" s="554">
        <v>0.0062</v>
      </c>
      <c r="E77" s="505">
        <f>1.25*16.77</f>
        <v>20.9625</v>
      </c>
      <c r="F77" s="158">
        <f t="shared" si="5"/>
        <v>0.12996749999999999</v>
      </c>
      <c r="G77" s="627" t="s">
        <v>1177</v>
      </c>
    </row>
    <row r="78" spans="1:7" ht="25.5">
      <c r="A78" s="461" t="s">
        <v>804</v>
      </c>
      <c r="B78" s="413" t="s">
        <v>652</v>
      </c>
      <c r="C78" s="411" t="s">
        <v>355</v>
      </c>
      <c r="D78" s="554">
        <v>0.0091</v>
      </c>
      <c r="E78" s="505">
        <f>1.25*16.14</f>
        <v>20.175</v>
      </c>
      <c r="F78" s="158">
        <f t="shared" si="5"/>
        <v>0.18359250000000002</v>
      </c>
      <c r="G78" s="627" t="s">
        <v>1178</v>
      </c>
    </row>
    <row r="79" spans="1:7" ht="25.5">
      <c r="A79" s="461" t="s">
        <v>805</v>
      </c>
      <c r="B79" s="413" t="s">
        <v>653</v>
      </c>
      <c r="C79" s="411" t="s">
        <v>354</v>
      </c>
      <c r="D79" s="554">
        <v>0.0007</v>
      </c>
      <c r="E79" s="505">
        <f>1.25*263</f>
        <v>328.75</v>
      </c>
      <c r="F79" s="158">
        <f t="shared" si="5"/>
        <v>0.230125</v>
      </c>
      <c r="G79" s="627" t="s">
        <v>1183</v>
      </c>
    </row>
    <row r="80" spans="1:7" ht="25.5">
      <c r="A80" s="461" t="s">
        <v>806</v>
      </c>
      <c r="B80" s="413" t="s">
        <v>654</v>
      </c>
      <c r="C80" s="411" t="s">
        <v>355</v>
      </c>
      <c r="D80" s="554">
        <v>0.001</v>
      </c>
      <c r="E80" s="505">
        <f>1.25*82.36</f>
        <v>102.95</v>
      </c>
      <c r="F80" s="158">
        <f t="shared" si="5"/>
        <v>0.10295</v>
      </c>
      <c r="G80" s="627" t="s">
        <v>1184</v>
      </c>
    </row>
    <row r="81" spans="5:6" ht="15">
      <c r="E81" s="415" t="s">
        <v>10</v>
      </c>
      <c r="F81" s="416">
        <f>SUM(F71:F80)</f>
        <v>66.53035805968166</v>
      </c>
    </row>
    <row r="82" spans="1:7" ht="25.5">
      <c r="A82" s="78" t="s">
        <v>756</v>
      </c>
      <c r="B82" s="494" t="s">
        <v>1583</v>
      </c>
      <c r="C82" s="686" t="s">
        <v>35</v>
      </c>
      <c r="D82" s="686" t="s">
        <v>6</v>
      </c>
      <c r="E82" s="686" t="s">
        <v>29</v>
      </c>
      <c r="F82" s="686" t="s">
        <v>8</v>
      </c>
      <c r="G82" s="686" t="s">
        <v>21</v>
      </c>
    </row>
    <row r="83" spans="1:7" ht="25.5">
      <c r="A83" s="426" t="s">
        <v>1578</v>
      </c>
      <c r="B83" s="361" t="s">
        <v>1591</v>
      </c>
      <c r="C83" s="429" t="s">
        <v>9</v>
      </c>
      <c r="D83" s="425">
        <v>1</v>
      </c>
      <c r="E83" s="427">
        <f>1.25*28.99</f>
        <v>36.2375</v>
      </c>
      <c r="F83" s="427">
        <f aca="true" t="shared" si="6" ref="F83:F89">D83*E83</f>
        <v>36.2375</v>
      </c>
      <c r="G83" s="627" t="s">
        <v>1576</v>
      </c>
    </row>
    <row r="84" spans="1:7" ht="76.5">
      <c r="A84" s="426" t="s">
        <v>1579</v>
      </c>
      <c r="B84" s="361" t="s">
        <v>1588</v>
      </c>
      <c r="C84" s="429" t="s">
        <v>9</v>
      </c>
      <c r="D84" s="425">
        <v>1</v>
      </c>
      <c r="E84" s="427">
        <f>1.25*74.83</f>
        <v>93.5375</v>
      </c>
      <c r="F84" s="427">
        <f t="shared" si="6"/>
        <v>93.5375</v>
      </c>
      <c r="G84" s="627" t="s">
        <v>1577</v>
      </c>
    </row>
    <row r="85" spans="1:7" ht="38.25">
      <c r="A85" s="426" t="s">
        <v>1580</v>
      </c>
      <c r="B85" s="361" t="s">
        <v>1587</v>
      </c>
      <c r="C85" s="429" t="s">
        <v>9</v>
      </c>
      <c r="D85" s="425">
        <v>1</v>
      </c>
      <c r="E85" s="427">
        <f>1.25*1.15</f>
        <v>1.4375</v>
      </c>
      <c r="F85" s="427">
        <f t="shared" si="6"/>
        <v>1.4375</v>
      </c>
      <c r="G85" s="627" t="s">
        <v>1573</v>
      </c>
    </row>
    <row r="86" spans="1:7" ht="38.25">
      <c r="A86" s="426" t="s">
        <v>1581</v>
      </c>
      <c r="B86" s="361" t="s">
        <v>1586</v>
      </c>
      <c r="C86" s="429" t="s">
        <v>9</v>
      </c>
      <c r="D86" s="425">
        <v>1</v>
      </c>
      <c r="E86" s="427">
        <f>1.25*7.82</f>
        <v>9.775</v>
      </c>
      <c r="F86" s="427">
        <f t="shared" si="6"/>
        <v>9.775</v>
      </c>
      <c r="G86" s="627" t="s">
        <v>1574</v>
      </c>
    </row>
    <row r="87" spans="1:7" ht="25.5">
      <c r="A87" s="426" t="s">
        <v>1582</v>
      </c>
      <c r="B87" s="361" t="s">
        <v>1575</v>
      </c>
      <c r="C87" s="429" t="s">
        <v>9</v>
      </c>
      <c r="D87" s="425">
        <v>1</v>
      </c>
      <c r="E87" s="427">
        <f>1.25*33.04</f>
        <v>41.3</v>
      </c>
      <c r="F87" s="427">
        <f t="shared" si="6"/>
        <v>41.3</v>
      </c>
      <c r="G87" s="627" t="s">
        <v>1572</v>
      </c>
    </row>
    <row r="88" spans="1:7" ht="12.75">
      <c r="A88" s="426" t="s">
        <v>1584</v>
      </c>
      <c r="B88" s="361" t="s">
        <v>350</v>
      </c>
      <c r="C88" s="429" t="s">
        <v>34</v>
      </c>
      <c r="D88" s="425">
        <v>0.79</v>
      </c>
      <c r="E88" s="427">
        <f>1.25*19.46</f>
        <v>24.325000000000003</v>
      </c>
      <c r="F88" s="427">
        <f t="shared" si="6"/>
        <v>19.216750000000005</v>
      </c>
      <c r="G88" s="627" t="s">
        <v>1149</v>
      </c>
    </row>
    <row r="89" spans="1:7" ht="12.75">
      <c r="A89" s="426" t="s">
        <v>1585</v>
      </c>
      <c r="B89" s="361" t="s">
        <v>349</v>
      </c>
      <c r="C89" s="429" t="s">
        <v>34</v>
      </c>
      <c r="D89" s="425">
        <v>0.4</v>
      </c>
      <c r="E89" s="427">
        <f>1.25*13.76</f>
        <v>17.2</v>
      </c>
      <c r="F89" s="427">
        <f t="shared" si="6"/>
        <v>6.88</v>
      </c>
      <c r="G89" s="627" t="s">
        <v>1142</v>
      </c>
    </row>
    <row r="90" spans="5:6" ht="15">
      <c r="E90" s="415" t="s">
        <v>10</v>
      </c>
      <c r="F90" s="416">
        <f>SUM(F83:F89)</f>
        <v>208.38424999999995</v>
      </c>
    </row>
    <row r="91" spans="1:7" ht="51">
      <c r="A91" s="78" t="s">
        <v>757</v>
      </c>
      <c r="B91" s="494" t="s">
        <v>122</v>
      </c>
      <c r="C91" s="59" t="s">
        <v>35</v>
      </c>
      <c r="D91" s="60" t="s">
        <v>6</v>
      </c>
      <c r="E91" s="61" t="s">
        <v>29</v>
      </c>
      <c r="F91" s="61" t="s">
        <v>8</v>
      </c>
      <c r="G91" s="79" t="s">
        <v>21</v>
      </c>
    </row>
    <row r="92" spans="1:7" ht="25.5">
      <c r="A92" s="426" t="s">
        <v>807</v>
      </c>
      <c r="B92" s="361" t="s">
        <v>569</v>
      </c>
      <c r="C92" s="429" t="s">
        <v>9</v>
      </c>
      <c r="D92" s="425">
        <v>1</v>
      </c>
      <c r="E92" s="158">
        <f>1.25*436.5/6</f>
        <v>90.9375</v>
      </c>
      <c r="F92" s="158">
        <f aca="true" t="shared" si="7" ref="F92:F98">D92*E92</f>
        <v>90.9375</v>
      </c>
      <c r="G92" s="442" t="s">
        <v>45</v>
      </c>
    </row>
    <row r="93" spans="1:7" ht="12.75">
      <c r="A93" s="426" t="s">
        <v>808</v>
      </c>
      <c r="B93" s="361" t="s">
        <v>560</v>
      </c>
      <c r="C93" s="429" t="s">
        <v>40</v>
      </c>
      <c r="D93" s="425">
        <v>6</v>
      </c>
      <c r="E93" s="158">
        <f>1.25*3.47</f>
        <v>4.3375</v>
      </c>
      <c r="F93" s="158">
        <f t="shared" si="7"/>
        <v>26.025000000000002</v>
      </c>
      <c r="G93" s="627" t="s">
        <v>1161</v>
      </c>
    </row>
    <row r="94" spans="1:7" ht="12.75">
      <c r="A94" s="426" t="s">
        <v>809</v>
      </c>
      <c r="B94" s="407" t="s">
        <v>559</v>
      </c>
      <c r="C94" s="362" t="s">
        <v>371</v>
      </c>
      <c r="D94" s="425">
        <f>0.06</f>
        <v>0.06</v>
      </c>
      <c r="E94" s="158">
        <f>1.25*14.14</f>
        <v>17.675</v>
      </c>
      <c r="F94" s="158">
        <f t="shared" si="7"/>
        <v>1.0605</v>
      </c>
      <c r="G94" s="364" t="s">
        <v>1185</v>
      </c>
    </row>
    <row r="95" spans="1:7" ht="12.75">
      <c r="A95" s="426" t="s">
        <v>810</v>
      </c>
      <c r="B95" s="413" t="s">
        <v>349</v>
      </c>
      <c r="C95" s="411" t="s">
        <v>34</v>
      </c>
      <c r="D95" s="414">
        <v>0.105</v>
      </c>
      <c r="E95" s="158">
        <f>1.25*13.76</f>
        <v>17.2</v>
      </c>
      <c r="F95" s="158">
        <f t="shared" si="7"/>
        <v>1.8059999999999998</v>
      </c>
      <c r="G95" s="627" t="s">
        <v>1142</v>
      </c>
    </row>
    <row r="96" spans="1:7" ht="12.75">
      <c r="A96" s="426" t="s">
        <v>811</v>
      </c>
      <c r="B96" s="413" t="s">
        <v>357</v>
      </c>
      <c r="C96" s="411" t="s">
        <v>34</v>
      </c>
      <c r="D96" s="414">
        <v>0.105</v>
      </c>
      <c r="E96" s="158">
        <f>1.25*21.31</f>
        <v>26.6375</v>
      </c>
      <c r="F96" s="158">
        <f t="shared" si="7"/>
        <v>2.7969375</v>
      </c>
      <c r="G96" s="627" t="s">
        <v>1176</v>
      </c>
    </row>
    <row r="97" spans="1:7" ht="25.5">
      <c r="A97" s="426" t="s">
        <v>812</v>
      </c>
      <c r="B97" s="413" t="s">
        <v>362</v>
      </c>
      <c r="C97" s="411" t="s">
        <v>354</v>
      </c>
      <c r="D97" s="414">
        <v>0.0132</v>
      </c>
      <c r="E97" s="158">
        <f>1.25*16.77</f>
        <v>20.9625</v>
      </c>
      <c r="F97" s="158">
        <f t="shared" si="7"/>
        <v>0.276705</v>
      </c>
      <c r="G97" s="627" t="s">
        <v>1177</v>
      </c>
    </row>
    <row r="98" spans="1:7" ht="25.5">
      <c r="A98" s="426" t="s">
        <v>813</v>
      </c>
      <c r="B98" s="413" t="s">
        <v>361</v>
      </c>
      <c r="C98" s="411" t="s">
        <v>355</v>
      </c>
      <c r="D98" s="414">
        <v>0.0183</v>
      </c>
      <c r="E98" s="158">
        <f>1.25*16.14</f>
        <v>20.175</v>
      </c>
      <c r="F98" s="158">
        <f t="shared" si="7"/>
        <v>0.36920250000000004</v>
      </c>
      <c r="G98" s="627" t="s">
        <v>1178</v>
      </c>
    </row>
    <row r="99" spans="5:6" ht="15">
      <c r="E99" s="415" t="s">
        <v>10</v>
      </c>
      <c r="F99" s="416">
        <f>SUM(F92:F98)</f>
        <v>123.27184500000001</v>
      </c>
    </row>
  </sheetData>
  <sheetProtection password="E5F2" sheet="1" objects="1" scenarios="1" selectLockedCells="1" selectUnlockedCells="1"/>
  <mergeCells count="8">
    <mergeCell ref="C8:F8"/>
    <mergeCell ref="A20:F2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D13" sqref="D13"/>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15" s="5" customFormat="1" ht="30" customHeight="1" thickBot="1">
      <c r="A7" s="16" t="s">
        <v>1</v>
      </c>
      <c r="B7" s="17" t="s">
        <v>4</v>
      </c>
      <c r="C7" s="18" t="s">
        <v>35</v>
      </c>
      <c r="D7" s="26" t="s">
        <v>6</v>
      </c>
      <c r="E7" s="27" t="s">
        <v>7</v>
      </c>
      <c r="F7" s="28" t="s">
        <v>8</v>
      </c>
      <c r="G7" s="34"/>
      <c r="H7" s="86"/>
      <c r="I7" s="86"/>
      <c r="J7" s="86"/>
      <c r="K7" s="86"/>
      <c r="L7" s="86"/>
      <c r="M7" s="86"/>
      <c r="N7" s="86"/>
      <c r="O7" s="86"/>
    </row>
    <row r="8" spans="1:15" s="5" customFormat="1" ht="30" customHeight="1" thickBot="1">
      <c r="A8" s="82">
        <v>10</v>
      </c>
      <c r="B8" s="83" t="str">
        <f>GERAL!B16</f>
        <v>REVESTIMENTO</v>
      </c>
      <c r="C8" s="756">
        <f>SUM(C9,C20,C23)</f>
        <v>150101.76885015</v>
      </c>
      <c r="D8" s="757"/>
      <c r="E8" s="757"/>
      <c r="F8" s="758"/>
      <c r="G8" s="493" t="s">
        <v>21</v>
      </c>
      <c r="H8" s="86"/>
      <c r="I8" s="86"/>
      <c r="J8" s="86"/>
      <c r="K8" s="86"/>
      <c r="L8" s="86"/>
      <c r="M8" s="86"/>
      <c r="N8" s="86"/>
      <c r="O8" s="86"/>
    </row>
    <row r="9" spans="1:7" ht="19.5" customHeight="1" thickBot="1">
      <c r="A9" s="218" t="s">
        <v>328</v>
      </c>
      <c r="B9" s="263" t="s">
        <v>123</v>
      </c>
      <c r="C9" s="788">
        <f>SUM(F10:F19)</f>
        <v>84553.65223475</v>
      </c>
      <c r="D9" s="789"/>
      <c r="E9" s="789"/>
      <c r="F9" s="790"/>
      <c r="G9" s="187"/>
    </row>
    <row r="10" spans="1:9" ht="63.75">
      <c r="A10" s="471" t="s">
        <v>538</v>
      </c>
      <c r="B10" s="399" t="s">
        <v>124</v>
      </c>
      <c r="C10" s="148" t="s">
        <v>9</v>
      </c>
      <c r="D10" s="419">
        <v>4.62</v>
      </c>
      <c r="E10" s="205">
        <f>F37</f>
        <v>99.09305</v>
      </c>
      <c r="F10" s="276">
        <f>D10*E10</f>
        <v>457.80989100000005</v>
      </c>
      <c r="G10" s="637" t="s">
        <v>33</v>
      </c>
      <c r="H10" s="111"/>
      <c r="I10" s="111"/>
    </row>
    <row r="11" spans="1:7" ht="51">
      <c r="A11" s="472" t="s">
        <v>539</v>
      </c>
      <c r="B11" s="373" t="s">
        <v>125</v>
      </c>
      <c r="C11" s="146" t="s">
        <v>9</v>
      </c>
      <c r="D11" s="150">
        <v>39.35</v>
      </c>
      <c r="E11" s="132">
        <f>F43</f>
        <v>45.380624999999995</v>
      </c>
      <c r="F11" s="277">
        <f aca="true" t="shared" si="0" ref="F11:F19">D11*E11</f>
        <v>1785.7275937499999</v>
      </c>
      <c r="G11" s="181" t="s">
        <v>33</v>
      </c>
    </row>
    <row r="12" spans="1:7" ht="51">
      <c r="A12" s="472" t="s">
        <v>540</v>
      </c>
      <c r="B12" s="142" t="s">
        <v>126</v>
      </c>
      <c r="C12" s="140" t="s">
        <v>9</v>
      </c>
      <c r="D12" s="150">
        <v>753.76</v>
      </c>
      <c r="E12" s="132">
        <f>1.25*54.5</f>
        <v>68.125</v>
      </c>
      <c r="F12" s="277">
        <f t="shared" si="0"/>
        <v>51349.9</v>
      </c>
      <c r="G12" s="511" t="s">
        <v>1186</v>
      </c>
    </row>
    <row r="13" spans="1:9" ht="76.5">
      <c r="A13" s="472" t="s">
        <v>541</v>
      </c>
      <c r="B13" s="142" t="s">
        <v>127</v>
      </c>
      <c r="C13" s="140" t="s">
        <v>9</v>
      </c>
      <c r="D13" s="150">
        <v>8.28</v>
      </c>
      <c r="E13" s="132">
        <f>1.25*29.11</f>
        <v>36.3875</v>
      </c>
      <c r="F13" s="277">
        <f t="shared" si="0"/>
        <v>301.2885</v>
      </c>
      <c r="G13" s="511" t="s">
        <v>1436</v>
      </c>
      <c r="I13" s="111"/>
    </row>
    <row r="14" spans="1:7" ht="12.75">
      <c r="A14" s="472" t="s">
        <v>542</v>
      </c>
      <c r="B14" s="142" t="s">
        <v>128</v>
      </c>
      <c r="C14" s="140" t="s">
        <v>9</v>
      </c>
      <c r="D14" s="150">
        <v>762.04</v>
      </c>
      <c r="E14" s="132">
        <f>1.25*24.15</f>
        <v>30.1875</v>
      </c>
      <c r="F14" s="277">
        <f t="shared" si="0"/>
        <v>23004.0825</v>
      </c>
      <c r="G14" s="638" t="s">
        <v>1239</v>
      </c>
    </row>
    <row r="15" spans="1:7" ht="12.75">
      <c r="A15" s="472" t="s">
        <v>543</v>
      </c>
      <c r="B15" s="142" t="s">
        <v>129</v>
      </c>
      <c r="C15" s="140" t="s">
        <v>44</v>
      </c>
      <c r="D15" s="150">
        <v>0.62</v>
      </c>
      <c r="E15" s="132">
        <f>1.25*28.79</f>
        <v>35.9875</v>
      </c>
      <c r="F15" s="277">
        <f t="shared" si="0"/>
        <v>22.31225</v>
      </c>
      <c r="G15" s="511" t="s">
        <v>1240</v>
      </c>
    </row>
    <row r="16" spans="1:7" ht="12.75">
      <c r="A16" s="472" t="s">
        <v>544</v>
      </c>
      <c r="B16" s="96" t="s">
        <v>1415</v>
      </c>
      <c r="C16" s="140" t="s">
        <v>44</v>
      </c>
      <c r="D16" s="150">
        <v>50.53</v>
      </c>
      <c r="E16" s="132">
        <f>1.25*15.04</f>
        <v>18.799999999999997</v>
      </c>
      <c r="F16" s="277">
        <f t="shared" si="0"/>
        <v>949.9639999999998</v>
      </c>
      <c r="G16" s="511" t="s">
        <v>1437</v>
      </c>
    </row>
    <row r="17" spans="1:7" ht="12.75">
      <c r="A17" s="472" t="s">
        <v>545</v>
      </c>
      <c r="B17" s="142" t="s">
        <v>130</v>
      </c>
      <c r="C17" s="140" t="s">
        <v>44</v>
      </c>
      <c r="D17" s="150">
        <v>46.8</v>
      </c>
      <c r="E17" s="132">
        <f>1.25*16.62</f>
        <v>20.775000000000002</v>
      </c>
      <c r="F17" s="277">
        <f t="shared" si="0"/>
        <v>972.2700000000001</v>
      </c>
      <c r="G17" s="511" t="s">
        <v>1241</v>
      </c>
    </row>
    <row r="18" spans="1:13" ht="38.25">
      <c r="A18" s="472" t="s">
        <v>546</v>
      </c>
      <c r="B18" s="142" t="s">
        <v>131</v>
      </c>
      <c r="C18" s="140" t="s">
        <v>9</v>
      </c>
      <c r="D18" s="150">
        <v>19.2</v>
      </c>
      <c r="E18" s="132">
        <f>1.25*77.85</f>
        <v>97.3125</v>
      </c>
      <c r="F18" s="277">
        <f t="shared" si="0"/>
        <v>1868.3999999999999</v>
      </c>
      <c r="G18" s="511" t="s">
        <v>1242</v>
      </c>
      <c r="M18" s="111"/>
    </row>
    <row r="19" spans="1:7" ht="39" thickBot="1">
      <c r="A19" s="477" t="s">
        <v>547</v>
      </c>
      <c r="B19" s="213" t="s">
        <v>132</v>
      </c>
      <c r="C19" s="138" t="s">
        <v>9</v>
      </c>
      <c r="D19" s="216">
        <v>39.48</v>
      </c>
      <c r="E19" s="484">
        <f>1.25*77.85</f>
        <v>97.3125</v>
      </c>
      <c r="F19" s="278">
        <f t="shared" si="0"/>
        <v>3841.8974999999996</v>
      </c>
      <c r="G19" s="620" t="s">
        <v>1243</v>
      </c>
    </row>
    <row r="20" spans="1:7" ht="19.5" customHeight="1" thickBot="1">
      <c r="A20" s="417" t="s">
        <v>329</v>
      </c>
      <c r="B20" s="485" t="s">
        <v>133</v>
      </c>
      <c r="C20" s="785">
        <f>SUM(F21:F22)</f>
        <v>25031.2212004</v>
      </c>
      <c r="D20" s="786"/>
      <c r="E20" s="786"/>
      <c r="F20" s="787"/>
      <c r="G20" s="227"/>
    </row>
    <row r="21" spans="1:7" ht="25.5">
      <c r="A21" s="474" t="s">
        <v>818</v>
      </c>
      <c r="B21" s="101" t="s">
        <v>363</v>
      </c>
      <c r="C21" s="139" t="s">
        <v>9</v>
      </c>
      <c r="D21" s="419">
        <v>921.97</v>
      </c>
      <c r="E21" s="212">
        <f>1.25*19.54</f>
        <v>24.424999999999997</v>
      </c>
      <c r="F21" s="242">
        <f>D21*E21</f>
        <v>22519.11725</v>
      </c>
      <c r="G21" s="619" t="s">
        <v>1187</v>
      </c>
    </row>
    <row r="22" spans="1:7" ht="13.5" thickBot="1">
      <c r="A22" s="593" t="s">
        <v>819</v>
      </c>
      <c r="B22" s="94" t="s">
        <v>134</v>
      </c>
      <c r="C22" s="138" t="s">
        <v>135</v>
      </c>
      <c r="D22" s="216">
        <v>35.2</v>
      </c>
      <c r="E22" s="214">
        <f>F53</f>
        <v>71.3665895</v>
      </c>
      <c r="F22" s="243">
        <f>D22*E22</f>
        <v>2512.1039504000005</v>
      </c>
      <c r="G22" s="236" t="s">
        <v>33</v>
      </c>
    </row>
    <row r="23" spans="1:7" ht="19.5" customHeight="1" thickBot="1">
      <c r="A23" s="417" t="s">
        <v>330</v>
      </c>
      <c r="B23" s="418" t="s">
        <v>136</v>
      </c>
      <c r="C23" s="785">
        <f>SUM(F24:F28)</f>
        <v>40516.895415</v>
      </c>
      <c r="D23" s="786"/>
      <c r="E23" s="786"/>
      <c r="F23" s="787"/>
      <c r="G23" s="227"/>
    </row>
    <row r="24" spans="1:7" ht="12.75">
      <c r="A24" s="474" t="s">
        <v>548</v>
      </c>
      <c r="B24" s="399" t="s">
        <v>290</v>
      </c>
      <c r="C24" s="148" t="s">
        <v>9</v>
      </c>
      <c r="D24" s="206">
        <v>504.08</v>
      </c>
      <c r="E24" s="148">
        <f>1.25*5.95</f>
        <v>7.4375</v>
      </c>
      <c r="F24" s="190">
        <f>D24*E24</f>
        <v>3749.095</v>
      </c>
      <c r="G24" s="628" t="s">
        <v>1188</v>
      </c>
    </row>
    <row r="25" spans="1:7" ht="12.75">
      <c r="A25" s="473" t="s">
        <v>549</v>
      </c>
      <c r="B25" s="369" t="s">
        <v>137</v>
      </c>
      <c r="C25" s="215" t="s">
        <v>9</v>
      </c>
      <c r="D25" s="215">
        <v>504.08</v>
      </c>
      <c r="E25" s="189">
        <f>1.25*37.86</f>
        <v>47.325</v>
      </c>
      <c r="F25" s="196">
        <f>D25*E25</f>
        <v>23855.586</v>
      </c>
      <c r="G25" s="629" t="s">
        <v>1189</v>
      </c>
    </row>
    <row r="26" spans="1:7" ht="25.5">
      <c r="A26" s="473" t="s">
        <v>550</v>
      </c>
      <c r="B26" s="369" t="s">
        <v>138</v>
      </c>
      <c r="C26" s="146" t="s">
        <v>9</v>
      </c>
      <c r="D26" s="150">
        <v>1445.78</v>
      </c>
      <c r="E26" s="146">
        <f>1.25*5.84</f>
        <v>7.3</v>
      </c>
      <c r="F26" s="196">
        <f>D26*E26</f>
        <v>10554.194</v>
      </c>
      <c r="G26" s="629" t="s">
        <v>1190</v>
      </c>
    </row>
    <row r="27" spans="1:7" ht="51">
      <c r="A27" s="473" t="s">
        <v>551</v>
      </c>
      <c r="B27" s="369" t="s">
        <v>139</v>
      </c>
      <c r="C27" s="146" t="s">
        <v>9</v>
      </c>
      <c r="D27" s="150">
        <v>35.32</v>
      </c>
      <c r="E27" s="146">
        <f>1.25*51.12</f>
        <v>63.9</v>
      </c>
      <c r="F27" s="196">
        <f>D27*E27</f>
        <v>2256.948</v>
      </c>
      <c r="G27" s="479" t="s">
        <v>1404</v>
      </c>
    </row>
    <row r="28" spans="1:7" ht="13.5" thickBot="1">
      <c r="A28" s="551" t="s">
        <v>552</v>
      </c>
      <c r="B28" s="660" t="s">
        <v>140</v>
      </c>
      <c r="C28" s="538" t="s">
        <v>9</v>
      </c>
      <c r="D28" s="553">
        <v>0.3</v>
      </c>
      <c r="E28" s="538">
        <f>F59</f>
        <v>336.90805</v>
      </c>
      <c r="F28" s="539">
        <f>D28*E28</f>
        <v>101.07241499999999</v>
      </c>
      <c r="G28" s="639" t="s">
        <v>1244</v>
      </c>
    </row>
    <row r="29" spans="1:6" ht="30" customHeight="1" thickBot="1">
      <c r="A29" s="753"/>
      <c r="B29" s="754"/>
      <c r="C29" s="754"/>
      <c r="D29" s="754"/>
      <c r="E29" s="754"/>
      <c r="F29" s="755"/>
    </row>
    <row r="31" spans="1:7" ht="12.75">
      <c r="A31" s="72"/>
      <c r="B31" s="57" t="s">
        <v>28</v>
      </c>
      <c r="C31" s="56"/>
      <c r="D31" s="56"/>
      <c r="E31" s="56"/>
      <c r="F31" s="56"/>
      <c r="G31" s="58"/>
    </row>
    <row r="32" spans="1:7" ht="63.75">
      <c r="A32" s="360" t="s">
        <v>538</v>
      </c>
      <c r="B32" s="421" t="s">
        <v>124</v>
      </c>
      <c r="C32" s="59" t="s">
        <v>5</v>
      </c>
      <c r="D32" s="60" t="s">
        <v>6</v>
      </c>
      <c r="E32" s="61" t="s">
        <v>29</v>
      </c>
      <c r="F32" s="61" t="s">
        <v>8</v>
      </c>
      <c r="G32" s="62" t="s">
        <v>30</v>
      </c>
    </row>
    <row r="33" spans="1:7" ht="25.5">
      <c r="A33" s="412" t="s">
        <v>1432</v>
      </c>
      <c r="B33" s="652" t="s">
        <v>1428</v>
      </c>
      <c r="C33" s="585" t="s">
        <v>44</v>
      </c>
      <c r="D33" s="653">
        <v>1</v>
      </c>
      <c r="E33" s="654">
        <f>1.25*67.42</f>
        <v>84.275</v>
      </c>
      <c r="F33" s="655">
        <f>D33*E33</f>
        <v>84.275</v>
      </c>
      <c r="G33" s="656" t="s">
        <v>1429</v>
      </c>
    </row>
    <row r="34" spans="1:7" ht="25.5">
      <c r="A34" s="412" t="s">
        <v>1433</v>
      </c>
      <c r="B34" s="652" t="s">
        <v>1430</v>
      </c>
      <c r="C34" s="585" t="s">
        <v>36</v>
      </c>
      <c r="D34" s="653">
        <v>0.003</v>
      </c>
      <c r="E34" s="654">
        <f>1.25*403.48</f>
        <v>504.35</v>
      </c>
      <c r="F34" s="655">
        <f>D34*E34</f>
        <v>1.51305</v>
      </c>
      <c r="G34" s="656" t="s">
        <v>1431</v>
      </c>
    </row>
    <row r="35" spans="1:7" ht="12.75">
      <c r="A35" s="412" t="s">
        <v>1434</v>
      </c>
      <c r="B35" s="652" t="s">
        <v>385</v>
      </c>
      <c r="C35" s="585" t="s">
        <v>34</v>
      </c>
      <c r="D35" s="653">
        <v>0.4</v>
      </c>
      <c r="E35" s="654">
        <f>1.25*19.73</f>
        <v>24.6625</v>
      </c>
      <c r="F35" s="655">
        <f>D35*E35</f>
        <v>9.865000000000002</v>
      </c>
      <c r="G35" s="656" t="s">
        <v>1191</v>
      </c>
    </row>
    <row r="36" spans="1:7" ht="12.75">
      <c r="A36" s="412" t="s">
        <v>1435</v>
      </c>
      <c r="B36" s="652" t="s">
        <v>349</v>
      </c>
      <c r="C36" s="585" t="s">
        <v>34</v>
      </c>
      <c r="D36" s="653">
        <v>0.2</v>
      </c>
      <c r="E36" s="654">
        <f>1.25*13.76</f>
        <v>17.2</v>
      </c>
      <c r="F36" s="655">
        <f>D36*E36</f>
        <v>3.44</v>
      </c>
      <c r="G36" s="656" t="s">
        <v>1142</v>
      </c>
    </row>
    <row r="37" spans="5:7" ht="15">
      <c r="E37" s="657" t="s">
        <v>10</v>
      </c>
      <c r="F37" s="658">
        <f>SUM(F33:F36)</f>
        <v>99.09305</v>
      </c>
      <c r="G37" s="659"/>
    </row>
    <row r="38" spans="1:7" ht="51">
      <c r="A38" s="78" t="s">
        <v>539</v>
      </c>
      <c r="B38" s="421" t="s">
        <v>125</v>
      </c>
      <c r="C38" s="59" t="s">
        <v>35</v>
      </c>
      <c r="D38" s="60" t="s">
        <v>6</v>
      </c>
      <c r="E38" s="61" t="s">
        <v>29</v>
      </c>
      <c r="F38" s="61" t="s">
        <v>8</v>
      </c>
      <c r="G38" s="79" t="s">
        <v>21</v>
      </c>
    </row>
    <row r="39" spans="1:7" ht="12.75">
      <c r="A39" s="461" t="s">
        <v>814</v>
      </c>
      <c r="B39" s="373" t="s">
        <v>399</v>
      </c>
      <c r="C39" s="146" t="s">
        <v>9</v>
      </c>
      <c r="D39" s="215">
        <v>1</v>
      </c>
      <c r="E39" s="146">
        <f>1.25*23</f>
        <v>28.75</v>
      </c>
      <c r="F39" s="146">
        <f>D39*E39</f>
        <v>28.75</v>
      </c>
      <c r="G39" s="534" t="s">
        <v>1245</v>
      </c>
    </row>
    <row r="40" spans="1:7" ht="12.75">
      <c r="A40" s="461" t="s">
        <v>815</v>
      </c>
      <c r="B40" s="373" t="s">
        <v>372</v>
      </c>
      <c r="C40" s="420" t="s">
        <v>397</v>
      </c>
      <c r="D40" s="215">
        <v>0.2</v>
      </c>
      <c r="E40" s="146">
        <f>1.25*123.3/5</f>
        <v>30.825</v>
      </c>
      <c r="F40" s="146">
        <f>D40*E40</f>
        <v>6.165</v>
      </c>
      <c r="G40" s="149" t="s">
        <v>45</v>
      </c>
    </row>
    <row r="41" spans="1:7" ht="12.75">
      <c r="A41" s="461" t="s">
        <v>816</v>
      </c>
      <c r="B41" s="373" t="s">
        <v>398</v>
      </c>
      <c r="C41" s="420" t="s">
        <v>34</v>
      </c>
      <c r="D41" s="215">
        <v>0.25</v>
      </c>
      <c r="E41" s="146">
        <f>1.25*19.73</f>
        <v>24.6625</v>
      </c>
      <c r="F41" s="146">
        <f>D41*E41</f>
        <v>6.165625</v>
      </c>
      <c r="G41" s="534" t="s">
        <v>1191</v>
      </c>
    </row>
    <row r="42" spans="1:7" ht="12.75">
      <c r="A42" s="461" t="s">
        <v>817</v>
      </c>
      <c r="B42" s="373" t="s">
        <v>349</v>
      </c>
      <c r="C42" s="420" t="s">
        <v>34</v>
      </c>
      <c r="D42" s="215">
        <v>0.25</v>
      </c>
      <c r="E42" s="146">
        <f>1.25*13.76</f>
        <v>17.2</v>
      </c>
      <c r="F42" s="146">
        <f>D42*E42</f>
        <v>4.3</v>
      </c>
      <c r="G42" s="534" t="s">
        <v>1142</v>
      </c>
    </row>
    <row r="43" spans="5:6" ht="15">
      <c r="E43" s="415" t="s">
        <v>10</v>
      </c>
      <c r="F43" s="416">
        <f>SUM(F39:F42)</f>
        <v>45.380624999999995</v>
      </c>
    </row>
    <row r="44" spans="1:7" ht="12.75">
      <c r="A44" s="78" t="s">
        <v>819</v>
      </c>
      <c r="B44" s="494" t="s">
        <v>134</v>
      </c>
      <c r="C44" s="59" t="s">
        <v>35</v>
      </c>
      <c r="D44" s="60" t="s">
        <v>6</v>
      </c>
      <c r="E44" s="61" t="s">
        <v>29</v>
      </c>
      <c r="F44" s="61" t="s">
        <v>8</v>
      </c>
      <c r="G44" s="79" t="s">
        <v>21</v>
      </c>
    </row>
    <row r="45" spans="1:7" ht="12.75">
      <c r="A45" s="412" t="s">
        <v>820</v>
      </c>
      <c r="B45" s="373" t="s">
        <v>364</v>
      </c>
      <c r="C45" s="420" t="s">
        <v>41</v>
      </c>
      <c r="D45" s="215">
        <f>2*0.0087</f>
        <v>0.0174</v>
      </c>
      <c r="E45" s="146">
        <f>1.25*13.8</f>
        <v>17.25</v>
      </c>
      <c r="F45" s="146">
        <f>D45*E45</f>
        <v>0.30015</v>
      </c>
      <c r="G45" s="534" t="s">
        <v>1192</v>
      </c>
    </row>
    <row r="46" spans="1:7" ht="12.75">
      <c r="A46" s="412" t="s">
        <v>821</v>
      </c>
      <c r="B46" s="373" t="s">
        <v>365</v>
      </c>
      <c r="C46" s="420" t="s">
        <v>41</v>
      </c>
      <c r="D46" s="215">
        <f>2*0.9964</f>
        <v>1.9928</v>
      </c>
      <c r="E46" s="146">
        <f>1.25*0.55</f>
        <v>0.6875</v>
      </c>
      <c r="F46" s="146">
        <f aca="true" t="shared" si="1" ref="F46:F52">D46*E46</f>
        <v>1.37005</v>
      </c>
      <c r="G46" s="534" t="s">
        <v>1193</v>
      </c>
    </row>
    <row r="47" spans="1:7" ht="25.5">
      <c r="A47" s="412" t="s">
        <v>822</v>
      </c>
      <c r="B47" s="373" t="s">
        <v>366</v>
      </c>
      <c r="C47" s="420" t="s">
        <v>9</v>
      </c>
      <c r="D47" s="215">
        <f>2*1.219</f>
        <v>2.438</v>
      </c>
      <c r="E47" s="146">
        <f>1.25*12.6</f>
        <v>15.75</v>
      </c>
      <c r="F47" s="146">
        <f t="shared" si="1"/>
        <v>38.398500000000006</v>
      </c>
      <c r="G47" s="534" t="s">
        <v>1194</v>
      </c>
    </row>
    <row r="48" spans="1:7" ht="12.75">
      <c r="A48" s="412" t="s">
        <v>823</v>
      </c>
      <c r="B48" s="373" t="s">
        <v>367</v>
      </c>
      <c r="C48" s="420" t="s">
        <v>41</v>
      </c>
      <c r="D48" s="215">
        <f>2*0.0019</f>
        <v>0.0038</v>
      </c>
      <c r="E48" s="146">
        <f>1.25*11.39</f>
        <v>14.2375</v>
      </c>
      <c r="F48" s="146">
        <f t="shared" si="1"/>
        <v>0.054102500000000005</v>
      </c>
      <c r="G48" s="534" t="s">
        <v>1195</v>
      </c>
    </row>
    <row r="49" spans="1:7" ht="12.75">
      <c r="A49" s="412" t="s">
        <v>824</v>
      </c>
      <c r="B49" s="373" t="s">
        <v>368</v>
      </c>
      <c r="C49" s="420" t="s">
        <v>41</v>
      </c>
      <c r="D49" s="215">
        <f>2*0.0078</f>
        <v>0.0156</v>
      </c>
      <c r="E49" s="146">
        <f>1.25*9</f>
        <v>11.25</v>
      </c>
      <c r="F49" s="146">
        <f t="shared" si="1"/>
        <v>0.1755</v>
      </c>
      <c r="G49" s="534" t="s">
        <v>1196</v>
      </c>
    </row>
    <row r="50" spans="1:7" ht="12.75">
      <c r="A50" s="412" t="s">
        <v>825</v>
      </c>
      <c r="B50" s="373" t="s">
        <v>369</v>
      </c>
      <c r="C50" s="420" t="s">
        <v>371</v>
      </c>
      <c r="D50" s="215">
        <f>2*0.0287</f>
        <v>0.0574</v>
      </c>
      <c r="E50" s="146">
        <f>1.25*14.14</f>
        <v>17.675</v>
      </c>
      <c r="F50" s="146">
        <f t="shared" si="1"/>
        <v>1.014545</v>
      </c>
      <c r="G50" s="534" t="s">
        <v>1185</v>
      </c>
    </row>
    <row r="51" spans="1:7" ht="12.75">
      <c r="A51" s="412" t="s">
        <v>826</v>
      </c>
      <c r="B51" s="373" t="s">
        <v>370</v>
      </c>
      <c r="C51" s="420" t="s">
        <v>34</v>
      </c>
      <c r="D51" s="215">
        <f>1.2*0.7647</f>
        <v>0.91764</v>
      </c>
      <c r="E51" s="146">
        <f>1.25*19.32</f>
        <v>24.15</v>
      </c>
      <c r="F51" s="146">
        <f t="shared" si="1"/>
        <v>22.161006</v>
      </c>
      <c r="G51" s="534" t="s">
        <v>1197</v>
      </c>
    </row>
    <row r="52" spans="1:7" ht="12.75">
      <c r="A52" s="412" t="s">
        <v>827</v>
      </c>
      <c r="B52" s="373" t="s">
        <v>349</v>
      </c>
      <c r="C52" s="420" t="s">
        <v>34</v>
      </c>
      <c r="D52" s="215">
        <f>1.2*0.3824</f>
        <v>0.45888</v>
      </c>
      <c r="E52" s="146">
        <f>1.25*13.76</f>
        <v>17.2</v>
      </c>
      <c r="F52" s="146">
        <f t="shared" si="1"/>
        <v>7.892736</v>
      </c>
      <c r="G52" s="534" t="s">
        <v>1142</v>
      </c>
    </row>
    <row r="53" spans="5:6" ht="15">
      <c r="E53" s="415" t="s">
        <v>10</v>
      </c>
      <c r="F53" s="416">
        <f>SUM(F45:F52)</f>
        <v>71.3665895</v>
      </c>
    </row>
    <row r="54" spans="1:7" ht="12.75">
      <c r="A54" s="360" t="s">
        <v>552</v>
      </c>
      <c r="B54" s="421" t="s">
        <v>140</v>
      </c>
      <c r="C54" s="59" t="s">
        <v>5</v>
      </c>
      <c r="D54" s="60" t="s">
        <v>6</v>
      </c>
      <c r="E54" s="61" t="s">
        <v>29</v>
      </c>
      <c r="F54" s="61" t="s">
        <v>8</v>
      </c>
      <c r="G54" s="62" t="s">
        <v>30</v>
      </c>
    </row>
    <row r="55" spans="1:7" ht="12.75">
      <c r="A55" s="412" t="s">
        <v>1438</v>
      </c>
      <c r="B55" s="652" t="s">
        <v>1442</v>
      </c>
      <c r="C55" s="585" t="s">
        <v>44</v>
      </c>
      <c r="D55" s="653">
        <v>1</v>
      </c>
      <c r="E55" s="654">
        <f>1.25*254.92</f>
        <v>318.65</v>
      </c>
      <c r="F55" s="655">
        <f>D55*E55</f>
        <v>318.65</v>
      </c>
      <c r="G55" s="656" t="s">
        <v>1547</v>
      </c>
    </row>
    <row r="56" spans="1:7" ht="12.75">
      <c r="A56" s="412" t="s">
        <v>1439</v>
      </c>
      <c r="B56" s="652" t="s">
        <v>385</v>
      </c>
      <c r="C56" s="585" t="s">
        <v>34</v>
      </c>
      <c r="D56" s="653">
        <v>0.4</v>
      </c>
      <c r="E56" s="654">
        <f>1.25*19.73</f>
        <v>24.6625</v>
      </c>
      <c r="F56" s="655">
        <f>D56*E56</f>
        <v>9.865000000000002</v>
      </c>
      <c r="G56" s="656" t="s">
        <v>1191</v>
      </c>
    </row>
    <row r="57" spans="1:7" ht="12.75">
      <c r="A57" s="412" t="s">
        <v>1440</v>
      </c>
      <c r="B57" s="652" t="s">
        <v>349</v>
      </c>
      <c r="C57" s="585" t="s">
        <v>34</v>
      </c>
      <c r="D57" s="653">
        <v>0.4</v>
      </c>
      <c r="E57" s="654">
        <f>1.25*13.76</f>
        <v>17.2</v>
      </c>
      <c r="F57" s="655">
        <f>D57*E57</f>
        <v>6.88</v>
      </c>
      <c r="G57" s="656" t="s">
        <v>1142</v>
      </c>
    </row>
    <row r="58" spans="1:7" ht="25.5">
      <c r="A58" s="412" t="s">
        <v>1441</v>
      </c>
      <c r="B58" s="652" t="s">
        <v>1430</v>
      </c>
      <c r="C58" s="585" t="s">
        <v>36</v>
      </c>
      <c r="D58" s="653">
        <v>0.003</v>
      </c>
      <c r="E58" s="654">
        <f>1.25*403.48</f>
        <v>504.35</v>
      </c>
      <c r="F58" s="655">
        <f>D58*E58</f>
        <v>1.51305</v>
      </c>
      <c r="G58" s="656" t="s">
        <v>1431</v>
      </c>
    </row>
    <row r="59" spans="5:7" ht="15">
      <c r="E59" s="657" t="s">
        <v>10</v>
      </c>
      <c r="F59" s="658">
        <f>SUM(F55:F58)</f>
        <v>336.90805</v>
      </c>
      <c r="G59" s="659"/>
    </row>
  </sheetData>
  <sheetProtection password="E5F2" sheet="1" objects="1" scenarios="1" selectLockedCells="1" selectUnlockedCells="1"/>
  <protectedRanges>
    <protectedRange sqref="E23:G23 G14 E20:G20 E11:E13 E15:E19" name="Intervalo1"/>
    <protectedRange sqref="E21:F22" name="Intervalo1_1"/>
  </protectedRanges>
  <mergeCells count="11">
    <mergeCell ref="A6:F6"/>
    <mergeCell ref="A29:F29"/>
    <mergeCell ref="C23:F23"/>
    <mergeCell ref="C20:F20"/>
    <mergeCell ref="C9:F9"/>
    <mergeCell ref="C8:F8"/>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93"/>
  <sheetViews>
    <sheetView zoomScalePageLayoutView="0" workbookViewId="0" topLeftCell="A1">
      <selection activeCell="F10" sqref="F10"/>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12" s="5" customFormat="1" ht="30" customHeight="1" thickBot="1">
      <c r="A7" s="16" t="s">
        <v>1</v>
      </c>
      <c r="B7" s="17" t="s">
        <v>4</v>
      </c>
      <c r="C7" s="18" t="s">
        <v>35</v>
      </c>
      <c r="D7" s="26" t="s">
        <v>6</v>
      </c>
      <c r="E7" s="27" t="s">
        <v>7</v>
      </c>
      <c r="F7" s="28" t="s">
        <v>8</v>
      </c>
      <c r="G7" s="89"/>
      <c r="H7" s="86"/>
      <c r="I7" s="86"/>
      <c r="J7" s="86"/>
      <c r="K7" s="86"/>
      <c r="L7" s="86"/>
    </row>
    <row r="8" spans="1:7" ht="30" customHeight="1" thickBot="1">
      <c r="A8" s="83">
        <v>11</v>
      </c>
      <c r="B8" s="83" t="str">
        <f>GERAL!B17</f>
        <v>INSTALAÇÕES ELÉTRICAS</v>
      </c>
      <c r="C8" s="756">
        <f>SUM(F9:F70)</f>
        <v>208745.30000000002</v>
      </c>
      <c r="D8" s="757"/>
      <c r="E8" s="757"/>
      <c r="F8" s="758"/>
      <c r="G8" s="493" t="s">
        <v>21</v>
      </c>
    </row>
    <row r="9" spans="1:8" ht="25.5">
      <c r="A9" s="471" t="s">
        <v>422</v>
      </c>
      <c r="B9" s="676" t="s">
        <v>141</v>
      </c>
      <c r="C9" s="163" t="s">
        <v>11</v>
      </c>
      <c r="D9" s="247">
        <v>6</v>
      </c>
      <c r="E9" s="148">
        <f>1.25*157.92</f>
        <v>197.39999999999998</v>
      </c>
      <c r="F9" s="190">
        <f>D9*E9</f>
        <v>1184.3999999999999</v>
      </c>
      <c r="G9" s="640" t="s">
        <v>1246</v>
      </c>
      <c r="H9" s="111"/>
    </row>
    <row r="10" spans="1:7" ht="25.5">
      <c r="A10" s="472" t="s">
        <v>423</v>
      </c>
      <c r="B10" s="271" t="s">
        <v>142</v>
      </c>
      <c r="C10" s="97" t="s">
        <v>11</v>
      </c>
      <c r="D10" s="162">
        <v>1</v>
      </c>
      <c r="E10" s="146">
        <f>1.25*402.83</f>
        <v>503.53749999999997</v>
      </c>
      <c r="F10" s="196">
        <f>D10*E10</f>
        <v>503.53749999999997</v>
      </c>
      <c r="G10" s="529" t="s">
        <v>1198</v>
      </c>
    </row>
    <row r="11" spans="1:7" ht="25.5">
      <c r="A11" s="472" t="s">
        <v>424</v>
      </c>
      <c r="B11" s="271" t="s">
        <v>143</v>
      </c>
      <c r="C11" s="97" t="s">
        <v>11</v>
      </c>
      <c r="D11" s="162">
        <v>28</v>
      </c>
      <c r="E11" s="146">
        <f>1.25*11.35</f>
        <v>14.1875</v>
      </c>
      <c r="F11" s="196">
        <f>D11*E11</f>
        <v>397.25</v>
      </c>
      <c r="G11" s="529" t="s">
        <v>1199</v>
      </c>
    </row>
    <row r="12" spans="1:7" ht="25.5">
      <c r="A12" s="472" t="s">
        <v>425</v>
      </c>
      <c r="B12" s="271" t="s">
        <v>144</v>
      </c>
      <c r="C12" s="97" t="s">
        <v>11</v>
      </c>
      <c r="D12" s="162">
        <v>8</v>
      </c>
      <c r="E12" s="146">
        <f>1.25*58.65</f>
        <v>73.3125</v>
      </c>
      <c r="F12" s="196">
        <f>D12*E12</f>
        <v>586.5</v>
      </c>
      <c r="G12" s="529" t="s">
        <v>1200</v>
      </c>
    </row>
    <row r="13" spans="1:7" ht="25.5">
      <c r="A13" s="472" t="s">
        <v>426</v>
      </c>
      <c r="B13" s="271" t="s">
        <v>145</v>
      </c>
      <c r="C13" s="97" t="s">
        <v>11</v>
      </c>
      <c r="D13" s="162">
        <v>1</v>
      </c>
      <c r="E13" s="146">
        <f>1.25*75.94</f>
        <v>94.925</v>
      </c>
      <c r="F13" s="196">
        <f aca="true" t="shared" si="0" ref="F13:F70">D13*E13</f>
        <v>94.925</v>
      </c>
      <c r="G13" s="529" t="s">
        <v>1247</v>
      </c>
    </row>
    <row r="14" spans="1:7" ht="25.5">
      <c r="A14" s="472" t="s">
        <v>427</v>
      </c>
      <c r="B14" s="271" t="s">
        <v>146</v>
      </c>
      <c r="C14" s="97" t="s">
        <v>11</v>
      </c>
      <c r="D14" s="162">
        <v>6</v>
      </c>
      <c r="E14" s="146">
        <f>1.25*75.94</f>
        <v>94.925</v>
      </c>
      <c r="F14" s="196">
        <f t="shared" si="0"/>
        <v>569.55</v>
      </c>
      <c r="G14" s="529" t="s">
        <v>1248</v>
      </c>
    </row>
    <row r="15" spans="1:7" ht="25.5">
      <c r="A15" s="472" t="s">
        <v>428</v>
      </c>
      <c r="B15" s="532" t="s">
        <v>1443</v>
      </c>
      <c r="C15" s="97" t="s">
        <v>11</v>
      </c>
      <c r="D15" s="162">
        <v>1</v>
      </c>
      <c r="E15" s="146">
        <f>1.25*96.92</f>
        <v>121.15</v>
      </c>
      <c r="F15" s="196">
        <f t="shared" si="0"/>
        <v>121.15</v>
      </c>
      <c r="G15" s="529" t="s">
        <v>1249</v>
      </c>
    </row>
    <row r="16" spans="1:7" ht="25.5">
      <c r="A16" s="472" t="s">
        <v>429</v>
      </c>
      <c r="B16" s="271" t="s">
        <v>147</v>
      </c>
      <c r="C16" s="97" t="s">
        <v>11</v>
      </c>
      <c r="D16" s="162">
        <v>1</v>
      </c>
      <c r="E16" s="146">
        <f>1.25*575.06</f>
        <v>718.8249999999999</v>
      </c>
      <c r="F16" s="196">
        <f t="shared" si="0"/>
        <v>718.8249999999999</v>
      </c>
      <c r="G16" s="529" t="s">
        <v>1201</v>
      </c>
    </row>
    <row r="17" spans="1:7" ht="25.5">
      <c r="A17" s="472" t="s">
        <v>430</v>
      </c>
      <c r="B17" s="510" t="s">
        <v>148</v>
      </c>
      <c r="C17" s="97" t="s">
        <v>11</v>
      </c>
      <c r="D17" s="162">
        <v>6</v>
      </c>
      <c r="E17" s="146">
        <f>1.25*233.77</f>
        <v>292.21250000000003</v>
      </c>
      <c r="F17" s="196">
        <f t="shared" si="0"/>
        <v>1753.275</v>
      </c>
      <c r="G17" s="529" t="s">
        <v>1250</v>
      </c>
    </row>
    <row r="18" spans="1:7" ht="25.5">
      <c r="A18" s="472" t="s">
        <v>431</v>
      </c>
      <c r="B18" s="543" t="s">
        <v>149</v>
      </c>
      <c r="C18" s="97" t="s">
        <v>11</v>
      </c>
      <c r="D18" s="162">
        <v>1</v>
      </c>
      <c r="E18" s="146">
        <f>1.25*233.77</f>
        <v>292.21250000000003</v>
      </c>
      <c r="F18" s="196">
        <f t="shared" si="0"/>
        <v>292.21250000000003</v>
      </c>
      <c r="G18" s="529" t="s">
        <v>1250</v>
      </c>
    </row>
    <row r="19" spans="1:7" ht="25.5">
      <c r="A19" s="472" t="s">
        <v>432</v>
      </c>
      <c r="B19" s="510" t="s">
        <v>150</v>
      </c>
      <c r="C19" s="97" t="s">
        <v>44</v>
      </c>
      <c r="D19" s="162">
        <v>135</v>
      </c>
      <c r="E19" s="146">
        <f>1.25*183.14</f>
        <v>228.92499999999998</v>
      </c>
      <c r="F19" s="196">
        <f t="shared" si="0"/>
        <v>30904.874999999996</v>
      </c>
      <c r="G19" s="529" t="s">
        <v>1251</v>
      </c>
    </row>
    <row r="20" spans="1:7" ht="25.5">
      <c r="A20" s="472" t="s">
        <v>433</v>
      </c>
      <c r="B20" s="510" t="s">
        <v>151</v>
      </c>
      <c r="C20" s="97" t="s">
        <v>44</v>
      </c>
      <c r="D20" s="162">
        <v>12</v>
      </c>
      <c r="E20" s="146">
        <f>1.25*122</f>
        <v>152.5</v>
      </c>
      <c r="F20" s="196">
        <f t="shared" si="0"/>
        <v>1830</v>
      </c>
      <c r="G20" s="529" t="s">
        <v>1252</v>
      </c>
    </row>
    <row r="21" spans="1:7" ht="25.5">
      <c r="A21" s="472" t="s">
        <v>434</v>
      </c>
      <c r="B21" s="543" t="s">
        <v>152</v>
      </c>
      <c r="C21" s="97" t="s">
        <v>44</v>
      </c>
      <c r="D21" s="162">
        <v>480</v>
      </c>
      <c r="E21" s="146">
        <f>F78</f>
        <v>22.69</v>
      </c>
      <c r="F21" s="196">
        <f t="shared" si="0"/>
        <v>10891.2</v>
      </c>
      <c r="G21" s="529" t="s">
        <v>33</v>
      </c>
    </row>
    <row r="22" spans="1:7" ht="25.5">
      <c r="A22" s="472" t="s">
        <v>435</v>
      </c>
      <c r="B22" s="543" t="s">
        <v>153</v>
      </c>
      <c r="C22" s="97" t="s">
        <v>44</v>
      </c>
      <c r="D22" s="162">
        <v>165</v>
      </c>
      <c r="E22" s="146">
        <f>1.25*12.73</f>
        <v>15.912500000000001</v>
      </c>
      <c r="F22" s="196">
        <f t="shared" si="0"/>
        <v>2625.5625000000005</v>
      </c>
      <c r="G22" s="529" t="s">
        <v>33</v>
      </c>
    </row>
    <row r="23" spans="1:7" ht="25.5">
      <c r="A23" s="472" t="s">
        <v>436</v>
      </c>
      <c r="B23" s="510" t="s">
        <v>154</v>
      </c>
      <c r="C23" s="97" t="s">
        <v>44</v>
      </c>
      <c r="D23" s="162">
        <v>135</v>
      </c>
      <c r="E23" s="146">
        <f>1.25*14.14</f>
        <v>17.675</v>
      </c>
      <c r="F23" s="196">
        <f t="shared" si="0"/>
        <v>2386.125</v>
      </c>
      <c r="G23" s="529" t="s">
        <v>33</v>
      </c>
    </row>
    <row r="24" spans="1:7" ht="25.5">
      <c r="A24" s="472" t="s">
        <v>437</v>
      </c>
      <c r="B24" s="510" t="s">
        <v>155</v>
      </c>
      <c r="C24" s="97" t="s">
        <v>44</v>
      </c>
      <c r="D24" s="162">
        <v>30</v>
      </c>
      <c r="E24" s="146">
        <f>1.25*20.54</f>
        <v>25.674999999999997</v>
      </c>
      <c r="F24" s="196">
        <f t="shared" si="0"/>
        <v>770.2499999999999</v>
      </c>
      <c r="G24" s="529" t="s">
        <v>33</v>
      </c>
    </row>
    <row r="25" spans="1:7" ht="25.5">
      <c r="A25" s="472" t="s">
        <v>438</v>
      </c>
      <c r="B25" s="510" t="s">
        <v>156</v>
      </c>
      <c r="C25" s="97" t="s">
        <v>44</v>
      </c>
      <c r="D25" s="162">
        <v>201</v>
      </c>
      <c r="E25" s="146">
        <f>1.25*37.52</f>
        <v>46.900000000000006</v>
      </c>
      <c r="F25" s="196">
        <f t="shared" si="0"/>
        <v>9426.900000000001</v>
      </c>
      <c r="G25" s="529" t="s">
        <v>1253</v>
      </c>
    </row>
    <row r="26" spans="1:7" ht="12.75">
      <c r="A26" s="472" t="s">
        <v>439</v>
      </c>
      <c r="B26" s="510" t="s">
        <v>157</v>
      </c>
      <c r="C26" s="110" t="s">
        <v>11</v>
      </c>
      <c r="D26" s="255">
        <f>240+40</f>
        <v>280</v>
      </c>
      <c r="E26" s="146">
        <f>1.25*8.03</f>
        <v>10.0375</v>
      </c>
      <c r="F26" s="196">
        <f t="shared" si="0"/>
        <v>2810.5</v>
      </c>
      <c r="G26" s="529" t="s">
        <v>1254</v>
      </c>
    </row>
    <row r="27" spans="1:7" ht="25.5">
      <c r="A27" s="472" t="s">
        <v>440</v>
      </c>
      <c r="B27" s="510" t="s">
        <v>158</v>
      </c>
      <c r="C27" s="110" t="s">
        <v>11</v>
      </c>
      <c r="D27" s="255">
        <v>12</v>
      </c>
      <c r="E27" s="146">
        <f>1.25*7.86</f>
        <v>9.825000000000001</v>
      </c>
      <c r="F27" s="196">
        <f t="shared" si="0"/>
        <v>117.9</v>
      </c>
      <c r="G27" s="529" t="s">
        <v>1255</v>
      </c>
    </row>
    <row r="28" spans="1:7" ht="12.75">
      <c r="A28" s="472" t="s">
        <v>441</v>
      </c>
      <c r="B28" s="510" t="s">
        <v>159</v>
      </c>
      <c r="C28" s="97" t="s">
        <v>11</v>
      </c>
      <c r="D28" s="162">
        <v>10</v>
      </c>
      <c r="E28" s="146">
        <f>1.25*67.59</f>
        <v>84.48750000000001</v>
      </c>
      <c r="F28" s="196">
        <f t="shared" si="0"/>
        <v>844.8750000000001</v>
      </c>
      <c r="G28" s="529" t="s">
        <v>1256</v>
      </c>
    </row>
    <row r="29" spans="1:7" ht="12.75">
      <c r="A29" s="472" t="s">
        <v>442</v>
      </c>
      <c r="B29" s="510" t="s">
        <v>160</v>
      </c>
      <c r="C29" s="97" t="s">
        <v>11</v>
      </c>
      <c r="D29" s="162">
        <v>4</v>
      </c>
      <c r="E29" s="146">
        <f>1.25*108.17</f>
        <v>135.2125</v>
      </c>
      <c r="F29" s="196">
        <f t="shared" si="0"/>
        <v>540.85</v>
      </c>
      <c r="G29" s="529" t="s">
        <v>1257</v>
      </c>
    </row>
    <row r="30" spans="1:7" ht="25.5">
      <c r="A30" s="472" t="s">
        <v>443</v>
      </c>
      <c r="B30" s="510" t="s">
        <v>161</v>
      </c>
      <c r="C30" s="97" t="s">
        <v>11</v>
      </c>
      <c r="D30" s="162">
        <v>4</v>
      </c>
      <c r="E30" s="146">
        <f>1.25*50.56</f>
        <v>63.2</v>
      </c>
      <c r="F30" s="196">
        <f t="shared" si="0"/>
        <v>252.8</v>
      </c>
      <c r="G30" s="529" t="s">
        <v>1258</v>
      </c>
    </row>
    <row r="31" spans="1:7" ht="25.5">
      <c r="A31" s="472" t="s">
        <v>444</v>
      </c>
      <c r="B31" s="271" t="s">
        <v>162</v>
      </c>
      <c r="C31" s="97" t="s">
        <v>11</v>
      </c>
      <c r="D31" s="162">
        <v>7</v>
      </c>
      <c r="E31" s="146">
        <f>1.25*18.14</f>
        <v>22.675</v>
      </c>
      <c r="F31" s="196">
        <f t="shared" si="0"/>
        <v>158.725</v>
      </c>
      <c r="G31" s="529" t="s">
        <v>1202</v>
      </c>
    </row>
    <row r="32" spans="1:7" ht="25.5">
      <c r="A32" s="472" t="s">
        <v>445</v>
      </c>
      <c r="B32" s="271" t="s">
        <v>163</v>
      </c>
      <c r="C32" s="97" t="s">
        <v>11</v>
      </c>
      <c r="D32" s="162">
        <v>6</v>
      </c>
      <c r="E32" s="146">
        <f>1.25*32.17</f>
        <v>40.212500000000006</v>
      </c>
      <c r="F32" s="196">
        <f t="shared" si="0"/>
        <v>241.27500000000003</v>
      </c>
      <c r="G32" s="529" t="s">
        <v>1203</v>
      </c>
    </row>
    <row r="33" spans="1:7" ht="25.5">
      <c r="A33" s="472" t="s">
        <v>446</v>
      </c>
      <c r="B33" s="271" t="s">
        <v>164</v>
      </c>
      <c r="C33" s="97" t="s">
        <v>11</v>
      </c>
      <c r="D33" s="162">
        <v>132</v>
      </c>
      <c r="E33" s="146">
        <f>1.25*42.7</f>
        <v>53.375</v>
      </c>
      <c r="F33" s="196">
        <f t="shared" si="0"/>
        <v>7045.5</v>
      </c>
      <c r="G33" s="529" t="s">
        <v>1204</v>
      </c>
    </row>
    <row r="34" spans="1:13" ht="25.5">
      <c r="A34" s="472" t="s">
        <v>447</v>
      </c>
      <c r="B34" s="271" t="s">
        <v>165</v>
      </c>
      <c r="C34" s="97" t="s">
        <v>11</v>
      </c>
      <c r="D34" s="162">
        <v>4</v>
      </c>
      <c r="E34" s="146">
        <f>1.25*18.14</f>
        <v>22.675</v>
      </c>
      <c r="F34" s="196">
        <f t="shared" si="0"/>
        <v>90.7</v>
      </c>
      <c r="G34" s="529" t="s">
        <v>1202</v>
      </c>
      <c r="H34" s="555"/>
      <c r="I34" s="556"/>
      <c r="J34" s="556"/>
      <c r="K34" s="556"/>
      <c r="L34" s="556"/>
      <c r="M34" s="556"/>
    </row>
    <row r="35" spans="1:7" ht="25.5">
      <c r="A35" s="472" t="s">
        <v>448</v>
      </c>
      <c r="B35" s="271" t="s">
        <v>573</v>
      </c>
      <c r="C35" s="97" t="s">
        <v>44</v>
      </c>
      <c r="D35" s="162">
        <v>1500</v>
      </c>
      <c r="E35" s="146">
        <f aca="true" t="shared" si="1" ref="E35:E40">1.25*2.2</f>
        <v>2.75</v>
      </c>
      <c r="F35" s="196">
        <f t="shared" si="0"/>
        <v>4125</v>
      </c>
      <c r="G35" s="529" t="s">
        <v>1205</v>
      </c>
    </row>
    <row r="36" spans="1:7" ht="25.5">
      <c r="A36" s="472" t="s">
        <v>449</v>
      </c>
      <c r="B36" s="271" t="s">
        <v>574</v>
      </c>
      <c r="C36" s="97" t="s">
        <v>44</v>
      </c>
      <c r="D36" s="162">
        <v>500</v>
      </c>
      <c r="E36" s="146">
        <f t="shared" si="1"/>
        <v>2.75</v>
      </c>
      <c r="F36" s="196">
        <f t="shared" si="0"/>
        <v>1375</v>
      </c>
      <c r="G36" s="529" t="s">
        <v>1205</v>
      </c>
    </row>
    <row r="37" spans="1:7" ht="25.5">
      <c r="A37" s="472" t="s">
        <v>450</v>
      </c>
      <c r="B37" s="271" t="s">
        <v>575</v>
      </c>
      <c r="C37" s="97" t="s">
        <v>44</v>
      </c>
      <c r="D37" s="162">
        <v>500</v>
      </c>
      <c r="E37" s="146">
        <f t="shared" si="1"/>
        <v>2.75</v>
      </c>
      <c r="F37" s="196">
        <f t="shared" si="0"/>
        <v>1375</v>
      </c>
      <c r="G37" s="529" t="s">
        <v>1205</v>
      </c>
    </row>
    <row r="38" spans="1:7" ht="25.5">
      <c r="A38" s="472" t="s">
        <v>451</v>
      </c>
      <c r="B38" s="271" t="s">
        <v>576</v>
      </c>
      <c r="C38" s="97" t="s">
        <v>44</v>
      </c>
      <c r="D38" s="162">
        <v>500</v>
      </c>
      <c r="E38" s="146">
        <f t="shared" si="1"/>
        <v>2.75</v>
      </c>
      <c r="F38" s="196">
        <f t="shared" si="0"/>
        <v>1375</v>
      </c>
      <c r="G38" s="529" t="s">
        <v>1205</v>
      </c>
    </row>
    <row r="39" spans="1:7" ht="25.5">
      <c r="A39" s="472" t="s">
        <v>452</v>
      </c>
      <c r="B39" s="271" t="s">
        <v>577</v>
      </c>
      <c r="C39" s="97" t="s">
        <v>44</v>
      </c>
      <c r="D39" s="162">
        <v>650</v>
      </c>
      <c r="E39" s="146">
        <f t="shared" si="1"/>
        <v>2.75</v>
      </c>
      <c r="F39" s="196">
        <f t="shared" si="0"/>
        <v>1787.5</v>
      </c>
      <c r="G39" s="529" t="s">
        <v>1205</v>
      </c>
    </row>
    <row r="40" spans="1:7" ht="25.5">
      <c r="A40" s="472" t="s">
        <v>453</v>
      </c>
      <c r="B40" s="271" t="s">
        <v>578</v>
      </c>
      <c r="C40" s="97" t="s">
        <v>44</v>
      </c>
      <c r="D40" s="162">
        <v>1500</v>
      </c>
      <c r="E40" s="146">
        <f t="shared" si="1"/>
        <v>2.75</v>
      </c>
      <c r="F40" s="196">
        <f t="shared" si="0"/>
        <v>4125</v>
      </c>
      <c r="G40" s="529" t="s">
        <v>1205</v>
      </c>
    </row>
    <row r="41" spans="1:7" ht="25.5">
      <c r="A41" s="472" t="s">
        <v>454</v>
      </c>
      <c r="B41" s="271" t="s">
        <v>579</v>
      </c>
      <c r="C41" s="97" t="s">
        <v>44</v>
      </c>
      <c r="D41" s="162">
        <v>300</v>
      </c>
      <c r="E41" s="146">
        <f>1.25*3.43</f>
        <v>4.2875000000000005</v>
      </c>
      <c r="F41" s="196">
        <f t="shared" si="0"/>
        <v>1286.2500000000002</v>
      </c>
      <c r="G41" s="529" t="s">
        <v>1206</v>
      </c>
    </row>
    <row r="42" spans="1:7" ht="25.5">
      <c r="A42" s="472" t="s">
        <v>455</v>
      </c>
      <c r="B42" s="271" t="s">
        <v>580</v>
      </c>
      <c r="C42" s="97" t="s">
        <v>44</v>
      </c>
      <c r="D42" s="162">
        <v>200</v>
      </c>
      <c r="E42" s="146">
        <f>1.25*3.43</f>
        <v>4.2875000000000005</v>
      </c>
      <c r="F42" s="196">
        <f t="shared" si="0"/>
        <v>857.5000000000001</v>
      </c>
      <c r="G42" s="529" t="s">
        <v>1206</v>
      </c>
    </row>
    <row r="43" spans="1:7" ht="25.5">
      <c r="A43" s="472" t="s">
        <v>456</v>
      </c>
      <c r="B43" s="271" t="s">
        <v>581</v>
      </c>
      <c r="C43" s="97" t="s">
        <v>44</v>
      </c>
      <c r="D43" s="162">
        <v>200</v>
      </c>
      <c r="E43" s="146">
        <f>1.25*3.43</f>
        <v>4.2875000000000005</v>
      </c>
      <c r="F43" s="196">
        <f t="shared" si="0"/>
        <v>857.5000000000001</v>
      </c>
      <c r="G43" s="529" t="s">
        <v>1206</v>
      </c>
    </row>
    <row r="44" spans="1:7" ht="25.5">
      <c r="A44" s="472" t="s">
        <v>457</v>
      </c>
      <c r="B44" s="271" t="s">
        <v>582</v>
      </c>
      <c r="C44" s="97" t="s">
        <v>44</v>
      </c>
      <c r="D44" s="162">
        <v>200</v>
      </c>
      <c r="E44" s="146">
        <f>1.25*3.43</f>
        <v>4.2875000000000005</v>
      </c>
      <c r="F44" s="196">
        <f t="shared" si="0"/>
        <v>857.5000000000001</v>
      </c>
      <c r="G44" s="529" t="s">
        <v>1206</v>
      </c>
    </row>
    <row r="45" spans="1:7" ht="25.5">
      <c r="A45" s="472" t="s">
        <v>458</v>
      </c>
      <c r="B45" s="271" t="s">
        <v>583</v>
      </c>
      <c r="C45" s="97" t="s">
        <v>44</v>
      </c>
      <c r="D45" s="162">
        <v>300</v>
      </c>
      <c r="E45" s="146">
        <f>1.25*3.43</f>
        <v>4.2875000000000005</v>
      </c>
      <c r="F45" s="196">
        <f t="shared" si="0"/>
        <v>1286.2500000000002</v>
      </c>
      <c r="G45" s="529" t="s">
        <v>1206</v>
      </c>
    </row>
    <row r="46" spans="1:7" ht="25.5">
      <c r="A46" s="472" t="s">
        <v>459</v>
      </c>
      <c r="B46" s="271" t="s">
        <v>584</v>
      </c>
      <c r="C46" s="97" t="s">
        <v>44</v>
      </c>
      <c r="D46" s="162">
        <v>40</v>
      </c>
      <c r="E46" s="146">
        <f>1.25*4.67</f>
        <v>5.8375</v>
      </c>
      <c r="F46" s="196">
        <f t="shared" si="0"/>
        <v>233.5</v>
      </c>
      <c r="G46" s="529" t="s">
        <v>1207</v>
      </c>
    </row>
    <row r="47" spans="1:7" ht="25.5">
      <c r="A47" s="472" t="s">
        <v>460</v>
      </c>
      <c r="B47" s="271" t="s">
        <v>585</v>
      </c>
      <c r="C47" s="97" t="s">
        <v>44</v>
      </c>
      <c r="D47" s="162">
        <v>20</v>
      </c>
      <c r="E47" s="146">
        <f>1.25*4.67</f>
        <v>5.8375</v>
      </c>
      <c r="F47" s="196">
        <f t="shared" si="0"/>
        <v>116.75</v>
      </c>
      <c r="G47" s="529" t="s">
        <v>1207</v>
      </c>
    </row>
    <row r="48" spans="1:7" ht="25.5">
      <c r="A48" s="472" t="s">
        <v>461</v>
      </c>
      <c r="B48" s="271" t="s">
        <v>586</v>
      </c>
      <c r="C48" s="97" t="s">
        <v>44</v>
      </c>
      <c r="D48" s="162">
        <v>20</v>
      </c>
      <c r="E48" s="146">
        <f>1.25*4.67</f>
        <v>5.8375</v>
      </c>
      <c r="F48" s="196">
        <f t="shared" si="0"/>
        <v>116.75</v>
      </c>
      <c r="G48" s="529" t="s">
        <v>1207</v>
      </c>
    </row>
    <row r="49" spans="1:7" ht="25.5">
      <c r="A49" s="472" t="s">
        <v>462</v>
      </c>
      <c r="B49" s="271" t="s">
        <v>587</v>
      </c>
      <c r="C49" s="97" t="s">
        <v>44</v>
      </c>
      <c r="D49" s="162">
        <v>20</v>
      </c>
      <c r="E49" s="146">
        <f>1.25*4.67</f>
        <v>5.8375</v>
      </c>
      <c r="F49" s="196">
        <f t="shared" si="0"/>
        <v>116.75</v>
      </c>
      <c r="G49" s="529" t="s">
        <v>1207</v>
      </c>
    </row>
    <row r="50" spans="1:7" ht="25.5">
      <c r="A50" s="472" t="s">
        <v>463</v>
      </c>
      <c r="B50" s="271" t="s">
        <v>588</v>
      </c>
      <c r="C50" s="97" t="s">
        <v>44</v>
      </c>
      <c r="D50" s="162">
        <v>20</v>
      </c>
      <c r="E50" s="146">
        <f>1.25*4.67</f>
        <v>5.8375</v>
      </c>
      <c r="F50" s="196">
        <f t="shared" si="0"/>
        <v>116.75</v>
      </c>
      <c r="G50" s="529" t="s">
        <v>1207</v>
      </c>
    </row>
    <row r="51" spans="1:7" ht="25.5">
      <c r="A51" s="472" t="s">
        <v>464</v>
      </c>
      <c r="B51" s="271" t="s">
        <v>589</v>
      </c>
      <c r="C51" s="97" t="s">
        <v>44</v>
      </c>
      <c r="D51" s="162">
        <v>120</v>
      </c>
      <c r="E51" s="146">
        <f>1.25*7.58</f>
        <v>9.475</v>
      </c>
      <c r="F51" s="196">
        <f t="shared" si="0"/>
        <v>1137</v>
      </c>
      <c r="G51" s="529" t="s">
        <v>1208</v>
      </c>
    </row>
    <row r="52" spans="1:7" ht="25.5">
      <c r="A52" s="472" t="s">
        <v>465</v>
      </c>
      <c r="B52" s="271" t="s">
        <v>590</v>
      </c>
      <c r="C52" s="97" t="s">
        <v>44</v>
      </c>
      <c r="D52" s="162">
        <v>80</v>
      </c>
      <c r="E52" s="146">
        <f>1.25*7.58</f>
        <v>9.475</v>
      </c>
      <c r="F52" s="196">
        <f t="shared" si="0"/>
        <v>758</v>
      </c>
      <c r="G52" s="529" t="s">
        <v>1208</v>
      </c>
    </row>
    <row r="53" spans="1:7" ht="25.5">
      <c r="A53" s="472" t="s">
        <v>466</v>
      </c>
      <c r="B53" s="271" t="s">
        <v>591</v>
      </c>
      <c r="C53" s="97" t="s">
        <v>44</v>
      </c>
      <c r="D53" s="162">
        <v>80</v>
      </c>
      <c r="E53" s="146">
        <f>1.25*7.58</f>
        <v>9.475</v>
      </c>
      <c r="F53" s="196">
        <f t="shared" si="0"/>
        <v>758</v>
      </c>
      <c r="G53" s="529" t="s">
        <v>1208</v>
      </c>
    </row>
    <row r="54" spans="1:7" ht="25.5">
      <c r="A54" s="472" t="s">
        <v>467</v>
      </c>
      <c r="B54" s="271" t="s">
        <v>592</v>
      </c>
      <c r="C54" s="97" t="s">
        <v>44</v>
      </c>
      <c r="D54" s="162">
        <v>80</v>
      </c>
      <c r="E54" s="146">
        <f>1.25*7.58</f>
        <v>9.475</v>
      </c>
      <c r="F54" s="196">
        <f t="shared" si="0"/>
        <v>758</v>
      </c>
      <c r="G54" s="529" t="s">
        <v>1208</v>
      </c>
    </row>
    <row r="55" spans="1:7" ht="25.5">
      <c r="A55" s="472" t="s">
        <v>468</v>
      </c>
      <c r="B55" s="271" t="s">
        <v>593</v>
      </c>
      <c r="C55" s="97" t="s">
        <v>44</v>
      </c>
      <c r="D55" s="162">
        <v>120</v>
      </c>
      <c r="E55" s="146">
        <f>1.25*7.58</f>
        <v>9.475</v>
      </c>
      <c r="F55" s="196">
        <f t="shared" si="0"/>
        <v>1137</v>
      </c>
      <c r="G55" s="529" t="s">
        <v>1208</v>
      </c>
    </row>
    <row r="56" spans="1:7" ht="25.5">
      <c r="A56" s="472" t="s">
        <v>469</v>
      </c>
      <c r="B56" s="271" t="s">
        <v>594</v>
      </c>
      <c r="C56" s="97" t="s">
        <v>44</v>
      </c>
      <c r="D56" s="162">
        <v>20</v>
      </c>
      <c r="E56" s="146">
        <f>1.25*11.57</f>
        <v>14.4625</v>
      </c>
      <c r="F56" s="196">
        <f t="shared" si="0"/>
        <v>289.25</v>
      </c>
      <c r="G56" s="529" t="s">
        <v>1209</v>
      </c>
    </row>
    <row r="57" spans="1:7" ht="25.5">
      <c r="A57" s="472" t="s">
        <v>470</v>
      </c>
      <c r="B57" s="271" t="s">
        <v>595</v>
      </c>
      <c r="C57" s="97" t="s">
        <v>44</v>
      </c>
      <c r="D57" s="162">
        <v>20</v>
      </c>
      <c r="E57" s="146">
        <f>1.25*11.57</f>
        <v>14.4625</v>
      </c>
      <c r="F57" s="196">
        <f t="shared" si="0"/>
        <v>289.25</v>
      </c>
      <c r="G57" s="529" t="s">
        <v>1209</v>
      </c>
    </row>
    <row r="58" spans="1:7" ht="25.5">
      <c r="A58" s="472" t="s">
        <v>471</v>
      </c>
      <c r="B58" s="271" t="s">
        <v>596</v>
      </c>
      <c r="C58" s="97" t="s">
        <v>44</v>
      </c>
      <c r="D58" s="162">
        <v>20</v>
      </c>
      <c r="E58" s="146">
        <f>1.25*11.57</f>
        <v>14.4625</v>
      </c>
      <c r="F58" s="196">
        <f t="shared" si="0"/>
        <v>289.25</v>
      </c>
      <c r="G58" s="529" t="s">
        <v>1209</v>
      </c>
    </row>
    <row r="59" spans="1:7" ht="25.5">
      <c r="A59" s="472" t="s">
        <v>472</v>
      </c>
      <c r="B59" s="271" t="s">
        <v>597</v>
      </c>
      <c r="C59" s="97" t="s">
        <v>44</v>
      </c>
      <c r="D59" s="162">
        <v>580</v>
      </c>
      <c r="E59" s="146">
        <f>1.25*68.46</f>
        <v>85.57499999999999</v>
      </c>
      <c r="F59" s="196">
        <f t="shared" si="0"/>
        <v>49633.49999999999</v>
      </c>
      <c r="G59" s="529" t="s">
        <v>1210</v>
      </c>
    </row>
    <row r="60" spans="1:7" ht="25.5">
      <c r="A60" s="472" t="s">
        <v>473</v>
      </c>
      <c r="B60" s="271" t="s">
        <v>598</v>
      </c>
      <c r="C60" s="97" t="s">
        <v>44</v>
      </c>
      <c r="D60" s="162">
        <v>220</v>
      </c>
      <c r="E60" s="146">
        <f>1.25*68.46</f>
        <v>85.57499999999999</v>
      </c>
      <c r="F60" s="196">
        <f t="shared" si="0"/>
        <v>18826.499999999996</v>
      </c>
      <c r="G60" s="529" t="s">
        <v>1210</v>
      </c>
    </row>
    <row r="61" spans="1:7" ht="25.5">
      <c r="A61" s="472" t="s">
        <v>474</v>
      </c>
      <c r="B61" s="271" t="s">
        <v>599</v>
      </c>
      <c r="C61" s="97" t="s">
        <v>44</v>
      </c>
      <c r="D61" s="162">
        <v>220</v>
      </c>
      <c r="E61" s="146">
        <f>1.25*33.14</f>
        <v>41.425</v>
      </c>
      <c r="F61" s="196">
        <f t="shared" si="0"/>
        <v>9113.5</v>
      </c>
      <c r="G61" s="529" t="s">
        <v>1211</v>
      </c>
    </row>
    <row r="62" spans="1:7" ht="12.75">
      <c r="A62" s="472" t="s">
        <v>475</v>
      </c>
      <c r="B62" s="510" t="s">
        <v>166</v>
      </c>
      <c r="C62" s="97" t="s">
        <v>11</v>
      </c>
      <c r="D62" s="162">
        <v>65</v>
      </c>
      <c r="E62" s="146">
        <f>1.25*17.8</f>
        <v>22.25</v>
      </c>
      <c r="F62" s="196">
        <f t="shared" si="0"/>
        <v>1446.25</v>
      </c>
      <c r="G62" s="529" t="s">
        <v>1259</v>
      </c>
    </row>
    <row r="63" spans="1:7" ht="12.75">
      <c r="A63" s="472" t="s">
        <v>476</v>
      </c>
      <c r="B63" s="510" t="s">
        <v>167</v>
      </c>
      <c r="C63" s="97" t="s">
        <v>11</v>
      </c>
      <c r="D63" s="162">
        <v>45</v>
      </c>
      <c r="E63" s="146">
        <f>1.25*17.8</f>
        <v>22.25</v>
      </c>
      <c r="F63" s="196">
        <f t="shared" si="0"/>
        <v>1001.25</v>
      </c>
      <c r="G63" s="529" t="s">
        <v>1259</v>
      </c>
    </row>
    <row r="64" spans="1:7" ht="12.75">
      <c r="A64" s="472" t="s">
        <v>477</v>
      </c>
      <c r="B64" s="510" t="s">
        <v>168</v>
      </c>
      <c r="C64" s="97" t="s">
        <v>11</v>
      </c>
      <c r="D64" s="162">
        <v>37</v>
      </c>
      <c r="E64" s="146">
        <f>1.25*11.4</f>
        <v>14.25</v>
      </c>
      <c r="F64" s="196">
        <f t="shared" si="0"/>
        <v>527.25</v>
      </c>
      <c r="G64" s="529" t="s">
        <v>1464</v>
      </c>
    </row>
    <row r="65" spans="1:7" ht="25.5">
      <c r="A65" s="472" t="s">
        <v>478</v>
      </c>
      <c r="B65" s="510" t="s">
        <v>306</v>
      </c>
      <c r="C65" s="97" t="s">
        <v>11</v>
      </c>
      <c r="D65" s="162">
        <v>400</v>
      </c>
      <c r="E65" s="146">
        <f>1.25*12.07</f>
        <v>15.0875</v>
      </c>
      <c r="F65" s="196">
        <f t="shared" si="0"/>
        <v>6035</v>
      </c>
      <c r="G65" s="529" t="s">
        <v>1260</v>
      </c>
    </row>
    <row r="66" spans="1:7" ht="25.5">
      <c r="A66" s="472" t="s">
        <v>479</v>
      </c>
      <c r="B66" s="510" t="s">
        <v>169</v>
      </c>
      <c r="C66" s="97" t="s">
        <v>11</v>
      </c>
      <c r="D66" s="162">
        <v>8</v>
      </c>
      <c r="E66" s="146">
        <f>1.25*6.59</f>
        <v>8.2375</v>
      </c>
      <c r="F66" s="196">
        <f t="shared" si="0"/>
        <v>65.9</v>
      </c>
      <c r="G66" s="529" t="s">
        <v>1261</v>
      </c>
    </row>
    <row r="67" spans="1:7" ht="25.5">
      <c r="A67" s="472" t="s">
        <v>1465</v>
      </c>
      <c r="B67" s="510" t="s">
        <v>170</v>
      </c>
      <c r="C67" s="97" t="s">
        <v>11</v>
      </c>
      <c r="D67" s="162">
        <v>8</v>
      </c>
      <c r="E67" s="146">
        <f>1.25*8.32</f>
        <v>10.4</v>
      </c>
      <c r="F67" s="196">
        <f t="shared" si="0"/>
        <v>83.2</v>
      </c>
      <c r="G67" s="529" t="s">
        <v>1262</v>
      </c>
    </row>
    <row r="68" spans="1:7" ht="38.25">
      <c r="A68" s="472" t="s">
        <v>480</v>
      </c>
      <c r="B68" s="272" t="s">
        <v>171</v>
      </c>
      <c r="C68" s="97" t="s">
        <v>11</v>
      </c>
      <c r="D68" s="162">
        <v>95</v>
      </c>
      <c r="E68" s="146">
        <f>1.25*152.25</f>
        <v>190.3125</v>
      </c>
      <c r="F68" s="196">
        <f t="shared" si="0"/>
        <v>18079.6875</v>
      </c>
      <c r="G68" s="529" t="s">
        <v>1263</v>
      </c>
    </row>
    <row r="69" spans="1:7" ht="12.75">
      <c r="A69" s="472" t="s">
        <v>481</v>
      </c>
      <c r="B69" s="271" t="s">
        <v>172</v>
      </c>
      <c r="C69" s="97" t="s">
        <v>11</v>
      </c>
      <c r="D69" s="162">
        <v>21</v>
      </c>
      <c r="E69" s="146">
        <f>1.25*34.4</f>
        <v>43</v>
      </c>
      <c r="F69" s="196">
        <f t="shared" si="0"/>
        <v>903</v>
      </c>
      <c r="G69" s="529" t="s">
        <v>1212</v>
      </c>
    </row>
    <row r="70" spans="1:7" ht="26.25" thickBot="1">
      <c r="A70" s="472" t="s">
        <v>482</v>
      </c>
      <c r="B70" s="668" t="s">
        <v>173</v>
      </c>
      <c r="C70" s="536" t="s">
        <v>11</v>
      </c>
      <c r="D70" s="537">
        <v>4</v>
      </c>
      <c r="E70" s="538">
        <f>1.25*89.37</f>
        <v>111.7125</v>
      </c>
      <c r="F70" s="539">
        <f t="shared" si="0"/>
        <v>446.85</v>
      </c>
      <c r="G70" s="641" t="s">
        <v>1466</v>
      </c>
    </row>
    <row r="71" spans="1:6" ht="30" customHeight="1" thickBot="1">
      <c r="A71" s="753"/>
      <c r="B71" s="754"/>
      <c r="C71" s="754"/>
      <c r="D71" s="754"/>
      <c r="E71" s="754"/>
      <c r="F71" s="755"/>
    </row>
    <row r="73" ht="15">
      <c r="B73" s="57" t="s">
        <v>28</v>
      </c>
    </row>
    <row r="74" spans="1:7" ht="25.5">
      <c r="A74" s="360" t="s">
        <v>434</v>
      </c>
      <c r="B74" s="421" t="s">
        <v>152</v>
      </c>
      <c r="C74" s="59" t="s">
        <v>5</v>
      </c>
      <c r="D74" s="60" t="s">
        <v>6</v>
      </c>
      <c r="E74" s="61" t="s">
        <v>29</v>
      </c>
      <c r="F74" s="61" t="s">
        <v>8</v>
      </c>
      <c r="G74" s="62" t="s">
        <v>30</v>
      </c>
    </row>
    <row r="75" spans="1:7" ht="25.5">
      <c r="A75" s="470" t="s">
        <v>1444</v>
      </c>
      <c r="B75" s="271" t="s">
        <v>1447</v>
      </c>
      <c r="C75" s="585" t="s">
        <v>44</v>
      </c>
      <c r="D75" s="162">
        <v>1</v>
      </c>
      <c r="E75" s="146">
        <f>1.25*4.4</f>
        <v>5.5</v>
      </c>
      <c r="F75" s="661">
        <f>D75*E75</f>
        <v>5.5</v>
      </c>
      <c r="G75" s="534">
        <v>39028</v>
      </c>
    </row>
    <row r="76" spans="1:7" ht="12.75">
      <c r="A76" s="470" t="s">
        <v>1445</v>
      </c>
      <c r="B76" s="271" t="s">
        <v>1448</v>
      </c>
      <c r="C76" s="585" t="s">
        <v>34</v>
      </c>
      <c r="D76" s="162">
        <v>0.4</v>
      </c>
      <c r="E76" s="146">
        <f>1.25*14.71</f>
        <v>18.387500000000003</v>
      </c>
      <c r="F76" s="661">
        <f>D76*E76</f>
        <v>7.355000000000001</v>
      </c>
      <c r="G76" s="534">
        <v>88247</v>
      </c>
    </row>
    <row r="77" spans="1:7" ht="12.75">
      <c r="A77" s="470" t="s">
        <v>1446</v>
      </c>
      <c r="B77" s="271" t="s">
        <v>1449</v>
      </c>
      <c r="C77" s="585" t="s">
        <v>34</v>
      </c>
      <c r="D77" s="162">
        <v>0.4</v>
      </c>
      <c r="E77" s="146">
        <f>1.25*19.67</f>
        <v>24.587500000000002</v>
      </c>
      <c r="F77" s="661">
        <f>D77*E77</f>
        <v>9.835</v>
      </c>
      <c r="G77" s="534">
        <v>88264</v>
      </c>
    </row>
    <row r="78" spans="5:6" ht="15">
      <c r="E78" s="657" t="s">
        <v>10</v>
      </c>
      <c r="F78" s="146">
        <f>SUM(F74:F77)</f>
        <v>22.69</v>
      </c>
    </row>
    <row r="79" spans="1:7" ht="25.5">
      <c r="A79" s="360" t="s">
        <v>435</v>
      </c>
      <c r="B79" s="421" t="s">
        <v>153</v>
      </c>
      <c r="C79" s="59" t="s">
        <v>5</v>
      </c>
      <c r="D79" s="60" t="s">
        <v>6</v>
      </c>
      <c r="E79" s="61" t="s">
        <v>29</v>
      </c>
      <c r="F79" s="61" t="s">
        <v>8</v>
      </c>
      <c r="G79" s="62" t="s">
        <v>30</v>
      </c>
    </row>
    <row r="80" spans="1:7" ht="12.75">
      <c r="A80" s="470" t="s">
        <v>1455</v>
      </c>
      <c r="B80" s="271" t="s">
        <v>1453</v>
      </c>
      <c r="C80" s="585" t="s">
        <v>44</v>
      </c>
      <c r="D80" s="162">
        <v>1.1</v>
      </c>
      <c r="E80" s="146">
        <f>1.25*3.5</f>
        <v>4.375</v>
      </c>
      <c r="F80" s="146">
        <f>D80*E80</f>
        <v>4.8125</v>
      </c>
      <c r="G80" s="534">
        <v>2685</v>
      </c>
    </row>
    <row r="81" spans="1:7" ht="12.75">
      <c r="A81" s="470" t="s">
        <v>1458</v>
      </c>
      <c r="B81" s="271" t="s">
        <v>1448</v>
      </c>
      <c r="C81" s="585" t="s">
        <v>34</v>
      </c>
      <c r="D81" s="162">
        <v>0.3</v>
      </c>
      <c r="E81" s="146">
        <f>1.25*14.71</f>
        <v>18.387500000000003</v>
      </c>
      <c r="F81" s="146">
        <f>D81*E81</f>
        <v>5.51625</v>
      </c>
      <c r="G81" s="534">
        <v>88247</v>
      </c>
    </row>
    <row r="82" spans="1:7" ht="12.75">
      <c r="A82" s="470" t="s">
        <v>1459</v>
      </c>
      <c r="B82" s="271" t="s">
        <v>1449</v>
      </c>
      <c r="C82" s="585" t="s">
        <v>34</v>
      </c>
      <c r="D82" s="162">
        <v>0.3</v>
      </c>
      <c r="E82" s="146">
        <f>1.25*19.67</f>
        <v>24.587500000000002</v>
      </c>
      <c r="F82" s="146">
        <f>D82*E82</f>
        <v>7.376250000000001</v>
      </c>
      <c r="G82" s="534">
        <v>88264</v>
      </c>
    </row>
    <row r="83" spans="1:7" ht="12.75">
      <c r="A83" s="662"/>
      <c r="B83" s="663"/>
      <c r="C83" s="666"/>
      <c r="D83" s="338"/>
      <c r="E83" s="657" t="s">
        <v>10</v>
      </c>
      <c r="F83" s="153">
        <f>SUM(F80:F82)</f>
        <v>17.705</v>
      </c>
      <c r="G83" s="667"/>
    </row>
    <row r="84" spans="1:7" ht="25.5">
      <c r="A84" s="360" t="s">
        <v>436</v>
      </c>
      <c r="B84" s="421" t="s">
        <v>1450</v>
      </c>
      <c r="C84" s="59" t="s">
        <v>5</v>
      </c>
      <c r="D84" s="60" t="s">
        <v>6</v>
      </c>
      <c r="E84" s="61" t="s">
        <v>29</v>
      </c>
      <c r="F84" s="61" t="s">
        <v>8</v>
      </c>
      <c r="G84" s="62" t="s">
        <v>30</v>
      </c>
    </row>
    <row r="85" spans="1:7" ht="12.75">
      <c r="A85" s="470" t="s">
        <v>1456</v>
      </c>
      <c r="B85" s="271" t="s">
        <v>1452</v>
      </c>
      <c r="C85" s="585" t="s">
        <v>44</v>
      </c>
      <c r="D85" s="162">
        <v>1.1</v>
      </c>
      <c r="E85" s="146">
        <f>1.25*4.66</f>
        <v>5.825</v>
      </c>
      <c r="F85" s="146">
        <f>D85*E85</f>
        <v>6.407500000000001</v>
      </c>
      <c r="G85" s="534">
        <v>2684</v>
      </c>
    </row>
    <row r="86" spans="1:7" ht="12.75">
      <c r="A86" s="470" t="s">
        <v>1460</v>
      </c>
      <c r="B86" s="271" t="s">
        <v>1448</v>
      </c>
      <c r="C86" s="585" t="s">
        <v>34</v>
      </c>
      <c r="D86" s="162">
        <v>0.3</v>
      </c>
      <c r="E86" s="146">
        <f>1.25*14.71</f>
        <v>18.387500000000003</v>
      </c>
      <c r="F86" s="146">
        <f>D86*E86</f>
        <v>5.51625</v>
      </c>
      <c r="G86" s="534">
        <v>88247</v>
      </c>
    </row>
    <row r="87" spans="1:7" ht="12.75">
      <c r="A87" s="470" t="s">
        <v>1461</v>
      </c>
      <c r="B87" s="271" t="s">
        <v>1449</v>
      </c>
      <c r="C87" s="585" t="s">
        <v>34</v>
      </c>
      <c r="D87" s="162">
        <v>0.3</v>
      </c>
      <c r="E87" s="146">
        <f>1.25*19.67</f>
        <v>24.587500000000002</v>
      </c>
      <c r="F87" s="146">
        <f>D87*E87</f>
        <v>7.376250000000001</v>
      </c>
      <c r="G87" s="534">
        <v>88264</v>
      </c>
    </row>
    <row r="88" spans="1:7" ht="12.75">
      <c r="A88" s="662"/>
      <c r="B88" s="663"/>
      <c r="C88" s="664"/>
      <c r="D88" s="162"/>
      <c r="E88" s="436" t="s">
        <v>10</v>
      </c>
      <c r="F88" s="146">
        <f>SUM(F85:F87)</f>
        <v>19.300000000000004</v>
      </c>
      <c r="G88" s="665"/>
    </row>
    <row r="89" spans="1:7" ht="25.5">
      <c r="A89" s="360" t="s">
        <v>437</v>
      </c>
      <c r="B89" s="421" t="s">
        <v>1451</v>
      </c>
      <c r="C89" s="59" t="s">
        <v>5</v>
      </c>
      <c r="D89" s="60" t="s">
        <v>6</v>
      </c>
      <c r="E89" s="61" t="s">
        <v>29</v>
      </c>
      <c r="F89" s="61" t="s">
        <v>8</v>
      </c>
      <c r="G89" s="62" t="s">
        <v>30</v>
      </c>
    </row>
    <row r="90" spans="1:7" ht="12.75">
      <c r="A90" s="470" t="s">
        <v>1457</v>
      </c>
      <c r="B90" s="271" t="s">
        <v>1454</v>
      </c>
      <c r="C90" s="585" t="s">
        <v>44</v>
      </c>
      <c r="D90" s="162">
        <v>1.1</v>
      </c>
      <c r="E90" s="146">
        <f>1.25*5.12</f>
        <v>6.4</v>
      </c>
      <c r="F90" s="146">
        <f>D90*E90</f>
        <v>7.040000000000001</v>
      </c>
      <c r="G90" s="534">
        <v>2680</v>
      </c>
    </row>
    <row r="91" spans="1:7" ht="12.75">
      <c r="A91" s="470" t="s">
        <v>1462</v>
      </c>
      <c r="B91" s="271" t="s">
        <v>1448</v>
      </c>
      <c r="C91" s="585" t="s">
        <v>34</v>
      </c>
      <c r="D91" s="162">
        <v>0.45</v>
      </c>
      <c r="E91" s="146">
        <f>1.25*14.71</f>
        <v>18.387500000000003</v>
      </c>
      <c r="F91" s="146">
        <f>D91*E91</f>
        <v>8.274375000000001</v>
      </c>
      <c r="G91" s="534">
        <v>88247</v>
      </c>
    </row>
    <row r="92" spans="1:7" ht="12.75">
      <c r="A92" s="470" t="s">
        <v>1463</v>
      </c>
      <c r="B92" s="271" t="s">
        <v>1449</v>
      </c>
      <c r="C92" s="585" t="s">
        <v>34</v>
      </c>
      <c r="D92" s="162">
        <v>0.45</v>
      </c>
      <c r="E92" s="146">
        <f>1.25*19.67</f>
        <v>24.587500000000002</v>
      </c>
      <c r="F92" s="146">
        <f>D92*E92</f>
        <v>11.064375000000002</v>
      </c>
      <c r="G92" s="534">
        <v>88264</v>
      </c>
    </row>
    <row r="93" spans="1:7" ht="12.75">
      <c r="A93" s="662"/>
      <c r="B93" s="663"/>
      <c r="C93" s="664"/>
      <c r="D93" s="338"/>
      <c r="E93" s="657" t="s">
        <v>10</v>
      </c>
      <c r="F93" s="153">
        <f>SUM(F90:F92)</f>
        <v>26.378750000000004</v>
      </c>
      <c r="G93" s="665"/>
    </row>
  </sheetData>
  <sheetProtection password="E5F2" sheet="1" objects="1" scenarios="1" selectLockedCells="1" selectUnlockedCells="1"/>
  <mergeCells count="8">
    <mergeCell ref="C8:F8"/>
    <mergeCell ref="A71:F71"/>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C8" sqref="C8:F8"/>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15" s="5" customFormat="1" ht="30" customHeight="1" thickBot="1">
      <c r="A7" s="16" t="s">
        <v>1</v>
      </c>
      <c r="B7" s="17" t="s">
        <v>4</v>
      </c>
      <c r="C7" s="18" t="s">
        <v>35</v>
      </c>
      <c r="D7" s="26" t="s">
        <v>6</v>
      </c>
      <c r="E7" s="27" t="s">
        <v>7</v>
      </c>
      <c r="F7" s="28" t="s">
        <v>8</v>
      </c>
      <c r="G7" s="89"/>
      <c r="H7" s="86"/>
      <c r="I7" s="86"/>
      <c r="J7" s="86"/>
      <c r="K7" s="86"/>
      <c r="L7" s="86"/>
      <c r="M7" s="86"/>
      <c r="N7" s="86"/>
      <c r="O7" s="86"/>
    </row>
    <row r="8" spans="1:7" ht="30" customHeight="1" thickBot="1">
      <c r="A8" s="80">
        <v>12</v>
      </c>
      <c r="B8" s="80" t="str">
        <f>GERAL!B18</f>
        <v>SPDA</v>
      </c>
      <c r="C8" s="771">
        <f>SUM(F9:F19)</f>
        <v>22643.3875</v>
      </c>
      <c r="D8" s="772"/>
      <c r="E8" s="772"/>
      <c r="F8" s="773"/>
      <c r="G8" s="493" t="s">
        <v>21</v>
      </c>
    </row>
    <row r="9" spans="1:7" ht="12.75">
      <c r="A9" s="428" t="s">
        <v>483</v>
      </c>
      <c r="B9" s="372" t="s">
        <v>174</v>
      </c>
      <c r="C9" s="153" t="s">
        <v>44</v>
      </c>
      <c r="D9" s="279">
        <v>110</v>
      </c>
      <c r="E9" s="155">
        <f>1.25*31.89</f>
        <v>39.8625</v>
      </c>
      <c r="F9" s="191">
        <f>D9*E9</f>
        <v>4384.875</v>
      </c>
      <c r="G9" s="625" t="s">
        <v>1213</v>
      </c>
    </row>
    <row r="10" spans="1:7" ht="12.75">
      <c r="A10" s="473" t="s">
        <v>484</v>
      </c>
      <c r="B10" s="369" t="s">
        <v>175</v>
      </c>
      <c r="C10" s="146" t="s">
        <v>44</v>
      </c>
      <c r="D10" s="215">
        <v>140</v>
      </c>
      <c r="E10" s="152">
        <f>1.25*22.45</f>
        <v>28.0625</v>
      </c>
      <c r="F10" s="191">
        <f aca="true" t="shared" si="0" ref="F10:F19">D10*E10</f>
        <v>3928.75</v>
      </c>
      <c r="G10" s="624" t="s">
        <v>1214</v>
      </c>
    </row>
    <row r="11" spans="1:7" ht="12.75">
      <c r="A11" s="473" t="s">
        <v>485</v>
      </c>
      <c r="B11" s="369" t="s">
        <v>176</v>
      </c>
      <c r="C11" s="146" t="s">
        <v>44</v>
      </c>
      <c r="D11" s="215">
        <v>85</v>
      </c>
      <c r="E11" s="152">
        <f>1.25*11.61</f>
        <v>14.5125</v>
      </c>
      <c r="F11" s="191">
        <f t="shared" si="0"/>
        <v>1233.5625</v>
      </c>
      <c r="G11" s="624" t="s">
        <v>1215</v>
      </c>
    </row>
    <row r="12" spans="1:7" ht="25.5">
      <c r="A12" s="473" t="s">
        <v>486</v>
      </c>
      <c r="B12" s="369" t="s">
        <v>177</v>
      </c>
      <c r="C12" s="146" t="s">
        <v>11</v>
      </c>
      <c r="D12" s="215">
        <v>9</v>
      </c>
      <c r="E12" s="152">
        <f>1.25*867.66</f>
        <v>1084.575</v>
      </c>
      <c r="F12" s="191">
        <f t="shared" si="0"/>
        <v>9761.175000000001</v>
      </c>
      <c r="G12" s="624" t="s">
        <v>1264</v>
      </c>
    </row>
    <row r="13" spans="1:7" ht="25.5">
      <c r="A13" s="473" t="s">
        <v>487</v>
      </c>
      <c r="B13" s="369" t="s">
        <v>178</v>
      </c>
      <c r="C13" s="146" t="s">
        <v>11</v>
      </c>
      <c r="D13" s="215">
        <v>9</v>
      </c>
      <c r="E13" s="152">
        <f>1.25*14.8</f>
        <v>18.5</v>
      </c>
      <c r="F13" s="191">
        <f t="shared" si="0"/>
        <v>166.5</v>
      </c>
      <c r="G13" s="624" t="s">
        <v>1265</v>
      </c>
    </row>
    <row r="14" spans="1:7" ht="25.5">
      <c r="A14" s="473" t="s">
        <v>488</v>
      </c>
      <c r="B14" s="369" t="s">
        <v>179</v>
      </c>
      <c r="C14" s="146" t="s">
        <v>11</v>
      </c>
      <c r="D14" s="215">
        <v>9</v>
      </c>
      <c r="E14" s="152">
        <f>1.25*136.66</f>
        <v>170.825</v>
      </c>
      <c r="F14" s="191">
        <f t="shared" si="0"/>
        <v>1537.425</v>
      </c>
      <c r="G14" s="624" t="s">
        <v>1266</v>
      </c>
    </row>
    <row r="15" spans="1:7" ht="38.25">
      <c r="A15" s="473" t="s">
        <v>489</v>
      </c>
      <c r="B15" s="373" t="s">
        <v>302</v>
      </c>
      <c r="C15" s="146" t="s">
        <v>11</v>
      </c>
      <c r="D15" s="215">
        <v>1</v>
      </c>
      <c r="E15" s="152">
        <f>1.25*164.29</f>
        <v>205.36249999999998</v>
      </c>
      <c r="F15" s="191">
        <f t="shared" si="0"/>
        <v>205.36249999999998</v>
      </c>
      <c r="G15" s="624" t="s">
        <v>1267</v>
      </c>
    </row>
    <row r="16" spans="1:9" ht="25.5">
      <c r="A16" s="473" t="s">
        <v>490</v>
      </c>
      <c r="B16" s="373" t="s">
        <v>303</v>
      </c>
      <c r="C16" s="146" t="s">
        <v>11</v>
      </c>
      <c r="D16" s="215">
        <v>140</v>
      </c>
      <c r="E16" s="152">
        <f>1.25*0.37</f>
        <v>0.4625</v>
      </c>
      <c r="F16" s="191">
        <f t="shared" si="0"/>
        <v>64.75</v>
      </c>
      <c r="G16" s="624" t="s">
        <v>1268</v>
      </c>
      <c r="H16" s="111"/>
      <c r="I16" s="111"/>
    </row>
    <row r="17" spans="1:7" ht="25.5">
      <c r="A17" s="473" t="s">
        <v>491</v>
      </c>
      <c r="B17" s="373" t="s">
        <v>304</v>
      </c>
      <c r="C17" s="146" t="s">
        <v>11</v>
      </c>
      <c r="D17" s="215">
        <v>6</v>
      </c>
      <c r="E17" s="152">
        <f>1.25*81.79</f>
        <v>102.23750000000001</v>
      </c>
      <c r="F17" s="191">
        <f t="shared" si="0"/>
        <v>613.4250000000001</v>
      </c>
      <c r="G17" s="624" t="s">
        <v>1269</v>
      </c>
    </row>
    <row r="18" spans="1:7" ht="12.75">
      <c r="A18" s="473" t="s">
        <v>492</v>
      </c>
      <c r="B18" s="369" t="s">
        <v>180</v>
      </c>
      <c r="C18" s="146" t="s">
        <v>11</v>
      </c>
      <c r="D18" s="215">
        <v>15</v>
      </c>
      <c r="E18" s="152">
        <f>1.25*25.99</f>
        <v>32.4875</v>
      </c>
      <c r="F18" s="191">
        <f t="shared" si="0"/>
        <v>487.31249999999994</v>
      </c>
      <c r="G18" s="624" t="s">
        <v>1216</v>
      </c>
    </row>
    <row r="19" spans="1:7" ht="26.25" thickBot="1">
      <c r="A19" s="473" t="s">
        <v>493</v>
      </c>
      <c r="B19" s="373" t="s">
        <v>305</v>
      </c>
      <c r="C19" s="149" t="s">
        <v>11</v>
      </c>
      <c r="D19" s="215">
        <v>15</v>
      </c>
      <c r="E19" s="152">
        <f>1.25*13.88</f>
        <v>17.35</v>
      </c>
      <c r="F19" s="191">
        <f t="shared" si="0"/>
        <v>260.25</v>
      </c>
      <c r="G19" s="630" t="s">
        <v>1217</v>
      </c>
    </row>
    <row r="20" spans="1:6" ht="30" customHeight="1" thickBot="1">
      <c r="A20" s="753"/>
      <c r="B20" s="754"/>
      <c r="C20" s="754"/>
      <c r="D20" s="754"/>
      <c r="E20" s="754"/>
      <c r="F20" s="755"/>
    </row>
  </sheetData>
  <sheetProtection password="E5F2" sheet="1" objects="1" scenarios="1" selectLockedCells="1" selectUnlockedCells="1"/>
  <mergeCells count="8">
    <mergeCell ref="C8:F8"/>
    <mergeCell ref="A20:F2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M87"/>
  <sheetViews>
    <sheetView zoomScalePageLayoutView="0" workbookViewId="0" topLeftCell="A1">
      <selection activeCell="J22" sqref="J22"/>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13" s="5" customFormat="1" ht="30" customHeight="1" thickBot="1">
      <c r="A7" s="16" t="s">
        <v>1</v>
      </c>
      <c r="B7" s="17" t="s">
        <v>4</v>
      </c>
      <c r="C7" s="18" t="s">
        <v>35</v>
      </c>
      <c r="D7" s="26" t="s">
        <v>6</v>
      </c>
      <c r="E7" s="27" t="s">
        <v>7</v>
      </c>
      <c r="F7" s="28" t="s">
        <v>8</v>
      </c>
      <c r="G7" s="89"/>
      <c r="H7" s="86"/>
      <c r="I7" s="86"/>
      <c r="J7" s="86"/>
      <c r="K7" s="86"/>
      <c r="L7" s="86"/>
      <c r="M7" s="86"/>
    </row>
    <row r="8" spans="1:7" ht="30" customHeight="1" thickBot="1">
      <c r="A8" s="83">
        <v>13</v>
      </c>
      <c r="B8" s="83" t="str">
        <f>GERAL!B19</f>
        <v>INSTALAÇÕES DE TELECOMUNICAÇÕES</v>
      </c>
      <c r="C8" s="756">
        <f>SUM(F9:F35)</f>
        <v>62844.917708333334</v>
      </c>
      <c r="D8" s="757"/>
      <c r="E8" s="757"/>
      <c r="F8" s="758"/>
      <c r="G8" s="493" t="s">
        <v>21</v>
      </c>
    </row>
    <row r="9" spans="1:11" ht="12.75">
      <c r="A9" s="474" t="s">
        <v>494</v>
      </c>
      <c r="B9" s="270" t="s">
        <v>181</v>
      </c>
      <c r="C9" s="148" t="s">
        <v>44</v>
      </c>
      <c r="D9" s="206">
        <v>250</v>
      </c>
      <c r="E9" s="151">
        <f>1.25*18.31</f>
        <v>22.8875</v>
      </c>
      <c r="F9" s="238">
        <f>D9*E9</f>
        <v>5721.875</v>
      </c>
      <c r="G9" s="619" t="s">
        <v>1270</v>
      </c>
      <c r="K9" s="475"/>
    </row>
    <row r="10" spans="1:11" ht="12.75">
      <c r="A10" s="473" t="s">
        <v>495</v>
      </c>
      <c r="B10" s="369" t="s">
        <v>182</v>
      </c>
      <c r="C10" s="146" t="s">
        <v>44</v>
      </c>
      <c r="D10" s="215">
        <v>20</v>
      </c>
      <c r="E10" s="152">
        <f>1.25*27.91</f>
        <v>34.8875</v>
      </c>
      <c r="F10" s="210">
        <f aca="true" t="shared" si="0" ref="F10:F35">D10*E10</f>
        <v>697.75</v>
      </c>
      <c r="G10" s="511" t="s">
        <v>1271</v>
      </c>
      <c r="J10" s="111"/>
      <c r="K10" s="111"/>
    </row>
    <row r="11" spans="1:7" ht="12.75">
      <c r="A11" s="473" t="s">
        <v>496</v>
      </c>
      <c r="B11" s="369" t="s">
        <v>183</v>
      </c>
      <c r="C11" s="146" t="s">
        <v>44</v>
      </c>
      <c r="D11" s="215">
        <v>30</v>
      </c>
      <c r="E11" s="152">
        <f>1.25*7.77</f>
        <v>9.712499999999999</v>
      </c>
      <c r="F11" s="210">
        <f t="shared" si="0"/>
        <v>291.37499999999994</v>
      </c>
      <c r="G11" s="511" t="s">
        <v>1272</v>
      </c>
    </row>
    <row r="12" spans="1:7" ht="25.5">
      <c r="A12" s="473" t="s">
        <v>497</v>
      </c>
      <c r="B12" s="369" t="s">
        <v>184</v>
      </c>
      <c r="C12" s="146" t="s">
        <v>44</v>
      </c>
      <c r="D12" s="215">
        <v>18</v>
      </c>
      <c r="E12" s="152">
        <f>1.25*183.13</f>
        <v>228.9125</v>
      </c>
      <c r="F12" s="210">
        <f t="shared" si="0"/>
        <v>4120.425</v>
      </c>
      <c r="G12" s="511" t="s">
        <v>1273</v>
      </c>
    </row>
    <row r="13" spans="1:7" ht="25.5">
      <c r="A13" s="473" t="s">
        <v>498</v>
      </c>
      <c r="B13" s="369" t="s">
        <v>185</v>
      </c>
      <c r="C13" s="146" t="s">
        <v>44</v>
      </c>
      <c r="D13" s="215">
        <v>45</v>
      </c>
      <c r="E13" s="152">
        <f>1.25*133.78</f>
        <v>167.225</v>
      </c>
      <c r="F13" s="210">
        <f t="shared" si="0"/>
        <v>7525.125</v>
      </c>
      <c r="G13" s="511" t="s">
        <v>1274</v>
      </c>
    </row>
    <row r="14" spans="1:7" ht="25.5">
      <c r="A14" s="473" t="s">
        <v>499</v>
      </c>
      <c r="B14" s="369" t="s">
        <v>186</v>
      </c>
      <c r="C14" s="146" t="s">
        <v>44</v>
      </c>
      <c r="D14" s="215">
        <v>12</v>
      </c>
      <c r="E14" s="152">
        <f>1.25*116.34</f>
        <v>145.425</v>
      </c>
      <c r="F14" s="210">
        <f t="shared" si="0"/>
        <v>1745.1000000000001</v>
      </c>
      <c r="G14" s="511" t="s">
        <v>1275</v>
      </c>
    </row>
    <row r="15" spans="1:7" ht="25.5">
      <c r="A15" s="473" t="s">
        <v>500</v>
      </c>
      <c r="B15" s="369" t="s">
        <v>187</v>
      </c>
      <c r="C15" s="149" t="s">
        <v>44</v>
      </c>
      <c r="D15" s="215">
        <v>90</v>
      </c>
      <c r="E15" s="152">
        <f>F43</f>
        <v>17.705</v>
      </c>
      <c r="F15" s="210">
        <f t="shared" si="0"/>
        <v>1593.4499999999998</v>
      </c>
      <c r="G15" s="511" t="s">
        <v>33</v>
      </c>
    </row>
    <row r="16" spans="1:7" ht="25.5">
      <c r="A16" s="473" t="s">
        <v>501</v>
      </c>
      <c r="B16" s="369" t="s">
        <v>188</v>
      </c>
      <c r="C16" s="149" t="s">
        <v>44</v>
      </c>
      <c r="D16" s="215">
        <v>66</v>
      </c>
      <c r="E16" s="152">
        <f>F48</f>
        <v>19.300000000000004</v>
      </c>
      <c r="F16" s="210">
        <f t="shared" si="0"/>
        <v>1273.8000000000002</v>
      </c>
      <c r="G16" s="511" t="s">
        <v>33</v>
      </c>
    </row>
    <row r="17" spans="1:7" ht="25.5">
      <c r="A17" s="473" t="s">
        <v>502</v>
      </c>
      <c r="B17" s="369" t="s">
        <v>189</v>
      </c>
      <c r="C17" s="149" t="s">
        <v>44</v>
      </c>
      <c r="D17" s="215">
        <v>30</v>
      </c>
      <c r="E17" s="152">
        <f>F53</f>
        <v>26.378750000000004</v>
      </c>
      <c r="F17" s="210">
        <f t="shared" si="0"/>
        <v>791.3625000000001</v>
      </c>
      <c r="G17" s="511" t="s">
        <v>33</v>
      </c>
    </row>
    <row r="18" spans="1:7" ht="25.5">
      <c r="A18" s="473" t="s">
        <v>503</v>
      </c>
      <c r="B18" s="369" t="s">
        <v>190</v>
      </c>
      <c r="C18" s="149" t="s">
        <v>40</v>
      </c>
      <c r="D18" s="215">
        <v>85</v>
      </c>
      <c r="E18" s="152">
        <f>1.25*32.36</f>
        <v>40.45</v>
      </c>
      <c r="F18" s="210">
        <f t="shared" si="0"/>
        <v>3438.2500000000005</v>
      </c>
      <c r="G18" s="511" t="s">
        <v>1476</v>
      </c>
    </row>
    <row r="19" spans="1:7" ht="25.5">
      <c r="A19" s="473" t="s">
        <v>504</v>
      </c>
      <c r="B19" s="369" t="s">
        <v>191</v>
      </c>
      <c r="C19" s="149" t="s">
        <v>11</v>
      </c>
      <c r="D19" s="215">
        <v>48</v>
      </c>
      <c r="E19" s="152">
        <f>1.25*45.95</f>
        <v>57.4375</v>
      </c>
      <c r="F19" s="210">
        <f t="shared" si="0"/>
        <v>2757</v>
      </c>
      <c r="G19" s="511" t="s">
        <v>1276</v>
      </c>
    </row>
    <row r="20" spans="1:10" ht="25.5">
      <c r="A20" s="473" t="s">
        <v>505</v>
      </c>
      <c r="B20" s="369" t="s">
        <v>192</v>
      </c>
      <c r="C20" s="149" t="s">
        <v>11</v>
      </c>
      <c r="D20" s="215">
        <v>25</v>
      </c>
      <c r="E20" s="152">
        <f>1.25*40.75</f>
        <v>50.9375</v>
      </c>
      <c r="F20" s="210">
        <f t="shared" si="0"/>
        <v>1273.4375</v>
      </c>
      <c r="G20" s="511" t="s">
        <v>1277</v>
      </c>
      <c r="J20" s="30"/>
    </row>
    <row r="21" spans="1:10" ht="25.5">
      <c r="A21" s="473" t="s">
        <v>506</v>
      </c>
      <c r="B21" s="369" t="s">
        <v>193</v>
      </c>
      <c r="C21" s="149" t="s">
        <v>11</v>
      </c>
      <c r="D21" s="215">
        <v>12</v>
      </c>
      <c r="E21" s="152">
        <f>1.25*23.18</f>
        <v>28.975</v>
      </c>
      <c r="F21" s="210">
        <f t="shared" si="0"/>
        <v>347.70000000000005</v>
      </c>
      <c r="G21" s="511" t="s">
        <v>1218</v>
      </c>
      <c r="J21" s="30"/>
    </row>
    <row r="22" spans="1:10" ht="25.5">
      <c r="A22" s="473" t="s">
        <v>507</v>
      </c>
      <c r="B22" s="369" t="s">
        <v>194</v>
      </c>
      <c r="C22" s="149" t="s">
        <v>11</v>
      </c>
      <c r="D22" s="215">
        <v>14</v>
      </c>
      <c r="E22" s="152">
        <f>1.25*67.59</f>
        <v>84.48750000000001</v>
      </c>
      <c r="F22" s="210">
        <f t="shared" si="0"/>
        <v>1182.8250000000003</v>
      </c>
      <c r="G22" s="511" t="s">
        <v>1256</v>
      </c>
      <c r="J22" s="30"/>
    </row>
    <row r="23" spans="1:10" ht="25.5">
      <c r="A23" s="473" t="s">
        <v>508</v>
      </c>
      <c r="B23" s="369" t="s">
        <v>195</v>
      </c>
      <c r="C23" s="149" t="s">
        <v>11</v>
      </c>
      <c r="D23" s="215">
        <v>4</v>
      </c>
      <c r="E23" s="152">
        <f>1.25*75.36</f>
        <v>94.2</v>
      </c>
      <c r="F23" s="210">
        <f t="shared" si="0"/>
        <v>376.8</v>
      </c>
      <c r="G23" s="511" t="s">
        <v>1278</v>
      </c>
      <c r="J23" s="30"/>
    </row>
    <row r="24" spans="1:7" ht="38.25">
      <c r="A24" s="473" t="s">
        <v>509</v>
      </c>
      <c r="B24" s="373" t="s">
        <v>620</v>
      </c>
      <c r="C24" s="149" t="s">
        <v>11</v>
      </c>
      <c r="D24" s="215">
        <v>1</v>
      </c>
      <c r="E24" s="152">
        <f>F57</f>
        <v>3436.2625000000003</v>
      </c>
      <c r="F24" s="210">
        <f t="shared" si="0"/>
        <v>3436.2625000000003</v>
      </c>
      <c r="G24" s="531" t="s">
        <v>33</v>
      </c>
    </row>
    <row r="25" spans="1:7" ht="25.5">
      <c r="A25" s="473" t="s">
        <v>510</v>
      </c>
      <c r="B25" s="369" t="s">
        <v>196</v>
      </c>
      <c r="C25" s="149" t="s">
        <v>44</v>
      </c>
      <c r="D25" s="215">
        <v>2500</v>
      </c>
      <c r="E25" s="152">
        <f>1.25*5.06</f>
        <v>6.324999999999999</v>
      </c>
      <c r="F25" s="210">
        <f t="shared" si="0"/>
        <v>15812.499999999998</v>
      </c>
      <c r="G25" s="511" t="s">
        <v>1279</v>
      </c>
    </row>
    <row r="26" spans="1:7" ht="25.5">
      <c r="A26" s="473" t="s">
        <v>511</v>
      </c>
      <c r="B26" s="369" t="s">
        <v>197</v>
      </c>
      <c r="C26" s="149" t="s">
        <v>11</v>
      </c>
      <c r="D26" s="215">
        <v>6</v>
      </c>
      <c r="E26" s="152">
        <f>1.25*528.92</f>
        <v>661.15</v>
      </c>
      <c r="F26" s="210">
        <f t="shared" si="0"/>
        <v>3966.8999999999996</v>
      </c>
      <c r="G26" s="511" t="s">
        <v>1477</v>
      </c>
    </row>
    <row r="27" spans="1:7" ht="25.5">
      <c r="A27" s="473" t="s">
        <v>512</v>
      </c>
      <c r="B27" s="369" t="s">
        <v>198</v>
      </c>
      <c r="C27" s="149" t="s">
        <v>11</v>
      </c>
      <c r="D27" s="215">
        <v>8</v>
      </c>
      <c r="E27" s="152">
        <f>1.25*157.14</f>
        <v>196.42499999999998</v>
      </c>
      <c r="F27" s="210">
        <f t="shared" si="0"/>
        <v>1571.3999999999999</v>
      </c>
      <c r="G27" s="511" t="s">
        <v>1478</v>
      </c>
    </row>
    <row r="28" spans="1:7" ht="25.5">
      <c r="A28" s="473" t="s">
        <v>513</v>
      </c>
      <c r="B28" s="369" t="s">
        <v>199</v>
      </c>
      <c r="C28" s="149" t="s">
        <v>11</v>
      </c>
      <c r="D28" s="215">
        <v>1</v>
      </c>
      <c r="E28" s="152">
        <f>1.25*269.1</f>
        <v>336.375</v>
      </c>
      <c r="F28" s="210">
        <f t="shared" si="0"/>
        <v>336.375</v>
      </c>
      <c r="G28" s="511" t="s">
        <v>1280</v>
      </c>
    </row>
    <row r="29" spans="1:7" ht="25.5">
      <c r="A29" s="473" t="s">
        <v>514</v>
      </c>
      <c r="B29" s="373" t="s">
        <v>200</v>
      </c>
      <c r="C29" s="149" t="s">
        <v>11</v>
      </c>
      <c r="D29" s="215">
        <v>85</v>
      </c>
      <c r="E29" s="144">
        <f>F62</f>
        <v>10.379926470588236</v>
      </c>
      <c r="F29" s="210">
        <f t="shared" si="0"/>
        <v>882.29375</v>
      </c>
      <c r="G29" s="531" t="s">
        <v>33</v>
      </c>
    </row>
    <row r="30" spans="1:7" ht="12.75">
      <c r="A30" s="473" t="s">
        <v>515</v>
      </c>
      <c r="B30" s="373" t="s">
        <v>201</v>
      </c>
      <c r="C30" s="149" t="s">
        <v>11</v>
      </c>
      <c r="D30" s="215">
        <v>2</v>
      </c>
      <c r="E30" s="144">
        <f>F67</f>
        <v>142.85</v>
      </c>
      <c r="F30" s="210">
        <f t="shared" si="0"/>
        <v>285.7</v>
      </c>
      <c r="G30" s="531" t="s">
        <v>33</v>
      </c>
    </row>
    <row r="31" spans="1:7" ht="12.75">
      <c r="A31" s="473" t="s">
        <v>516</v>
      </c>
      <c r="B31" s="373" t="s">
        <v>623</v>
      </c>
      <c r="C31" s="149" t="s">
        <v>11</v>
      </c>
      <c r="D31" s="215">
        <v>25</v>
      </c>
      <c r="E31" s="144">
        <f>F72</f>
        <v>21.80645833333333</v>
      </c>
      <c r="F31" s="210">
        <f t="shared" si="0"/>
        <v>545.1614583333333</v>
      </c>
      <c r="G31" s="531" t="s">
        <v>33</v>
      </c>
    </row>
    <row r="32" spans="1:7" ht="25.5">
      <c r="A32" s="473" t="s">
        <v>517</v>
      </c>
      <c r="B32" s="369" t="s">
        <v>202</v>
      </c>
      <c r="C32" s="149" t="s">
        <v>40</v>
      </c>
      <c r="D32" s="215">
        <v>2</v>
      </c>
      <c r="E32" s="144">
        <f>1.25*26.43</f>
        <v>33.0375</v>
      </c>
      <c r="F32" s="210">
        <f t="shared" si="0"/>
        <v>66.075</v>
      </c>
      <c r="G32" s="511" t="s">
        <v>1281</v>
      </c>
    </row>
    <row r="33" spans="1:7" ht="12.75">
      <c r="A33" s="473" t="s">
        <v>518</v>
      </c>
      <c r="B33" s="373" t="s">
        <v>203</v>
      </c>
      <c r="C33" s="149" t="s">
        <v>11</v>
      </c>
      <c r="D33" s="215">
        <v>1</v>
      </c>
      <c r="E33" s="144">
        <f>F77</f>
        <v>436.84687500000007</v>
      </c>
      <c r="F33" s="210">
        <f t="shared" si="0"/>
        <v>436.84687500000007</v>
      </c>
      <c r="G33" s="531" t="s">
        <v>33</v>
      </c>
    </row>
    <row r="34" spans="1:11" ht="12.75">
      <c r="A34" s="473" t="s">
        <v>519</v>
      </c>
      <c r="B34" s="369" t="s">
        <v>204</v>
      </c>
      <c r="C34" s="149" t="s">
        <v>11</v>
      </c>
      <c r="D34" s="215">
        <v>1</v>
      </c>
      <c r="E34" s="144">
        <f>F82</f>
        <v>1106.1343749999996</v>
      </c>
      <c r="F34" s="210">
        <f t="shared" si="0"/>
        <v>1106.1343749999996</v>
      </c>
      <c r="G34" s="572" t="s">
        <v>33</v>
      </c>
      <c r="H34" s="111"/>
      <c r="I34" s="111"/>
      <c r="J34" s="111"/>
      <c r="K34" s="111"/>
    </row>
    <row r="35" spans="1:7" ht="13.5" thickBot="1">
      <c r="A35" s="551" t="s">
        <v>520</v>
      </c>
      <c r="B35" s="598" t="s">
        <v>205</v>
      </c>
      <c r="C35" s="599" t="s">
        <v>11</v>
      </c>
      <c r="D35" s="600">
        <v>2</v>
      </c>
      <c r="E35" s="601">
        <f>F87</f>
        <v>631.496875</v>
      </c>
      <c r="F35" s="560">
        <f t="shared" si="0"/>
        <v>1262.99375</v>
      </c>
      <c r="G35" s="540" t="s">
        <v>33</v>
      </c>
    </row>
    <row r="36" spans="1:6" ht="30" customHeight="1" thickBot="1">
      <c r="A36" s="753"/>
      <c r="B36" s="754"/>
      <c r="C36" s="754"/>
      <c r="D36" s="754"/>
      <c r="E36" s="754"/>
      <c r="F36" s="755"/>
    </row>
    <row r="38" spans="1:7" ht="12.75">
      <c r="A38" s="72"/>
      <c r="B38" s="57" t="s">
        <v>28</v>
      </c>
      <c r="C38" s="56"/>
      <c r="D38" s="56"/>
      <c r="E38" s="56"/>
      <c r="F38" s="56"/>
      <c r="G38" s="58"/>
    </row>
    <row r="39" spans="1:7" ht="25.5">
      <c r="A39" s="360" t="s">
        <v>500</v>
      </c>
      <c r="B39" s="421" t="s">
        <v>153</v>
      </c>
      <c r="C39" s="59" t="s">
        <v>5</v>
      </c>
      <c r="D39" s="60" t="s">
        <v>6</v>
      </c>
      <c r="E39" s="61" t="s">
        <v>29</v>
      </c>
      <c r="F39" s="61" t="s">
        <v>8</v>
      </c>
      <c r="G39" s="62" t="s">
        <v>30</v>
      </c>
    </row>
    <row r="40" spans="1:7" ht="12.75">
      <c r="A40" s="470" t="s">
        <v>1467</v>
      </c>
      <c r="B40" s="271" t="s">
        <v>1453</v>
      </c>
      <c r="C40" s="585" t="s">
        <v>44</v>
      </c>
      <c r="D40" s="162">
        <v>1.1</v>
      </c>
      <c r="E40" s="146">
        <f>1.25*3.5</f>
        <v>4.375</v>
      </c>
      <c r="F40" s="146">
        <f>D40*E40</f>
        <v>4.8125</v>
      </c>
      <c r="G40" s="534">
        <v>2685</v>
      </c>
    </row>
    <row r="41" spans="1:7" ht="12.75">
      <c r="A41" s="470" t="s">
        <v>1468</v>
      </c>
      <c r="B41" s="271" t="s">
        <v>1448</v>
      </c>
      <c r="C41" s="585" t="s">
        <v>34</v>
      </c>
      <c r="D41" s="162">
        <v>0.3</v>
      </c>
      <c r="E41" s="146">
        <f>1.25*14.71</f>
        <v>18.387500000000003</v>
      </c>
      <c r="F41" s="146">
        <f>D41*E41</f>
        <v>5.51625</v>
      </c>
      <c r="G41" s="534">
        <v>88247</v>
      </c>
    </row>
    <row r="42" spans="1:7" ht="12.75">
      <c r="A42" s="470" t="s">
        <v>1469</v>
      </c>
      <c r="B42" s="271" t="s">
        <v>1449</v>
      </c>
      <c r="C42" s="585" t="s">
        <v>34</v>
      </c>
      <c r="D42" s="162">
        <v>0.3</v>
      </c>
      <c r="E42" s="146">
        <f>1.25*19.67</f>
        <v>24.587500000000002</v>
      </c>
      <c r="F42" s="146">
        <f>D42*E42</f>
        <v>7.376250000000001</v>
      </c>
      <c r="G42" s="534">
        <v>88264</v>
      </c>
    </row>
    <row r="43" spans="1:7" ht="12.75">
      <c r="A43" s="662"/>
      <c r="B43" s="663"/>
      <c r="C43" s="666"/>
      <c r="D43" s="338"/>
      <c r="E43" s="657" t="s">
        <v>10</v>
      </c>
      <c r="F43" s="153">
        <f>SUM(F40:F42)</f>
        <v>17.705</v>
      </c>
      <c r="G43" s="667"/>
    </row>
    <row r="44" spans="1:7" ht="25.5">
      <c r="A44" s="360" t="s">
        <v>501</v>
      </c>
      <c r="B44" s="421" t="s">
        <v>1450</v>
      </c>
      <c r="C44" s="59" t="s">
        <v>5</v>
      </c>
      <c r="D44" s="60" t="s">
        <v>6</v>
      </c>
      <c r="E44" s="61" t="s">
        <v>29</v>
      </c>
      <c r="F44" s="61" t="s">
        <v>8</v>
      </c>
      <c r="G44" s="62" t="s">
        <v>30</v>
      </c>
    </row>
    <row r="45" spans="1:7" ht="12.75">
      <c r="A45" s="470" t="s">
        <v>1470</v>
      </c>
      <c r="B45" s="271" t="s">
        <v>1452</v>
      </c>
      <c r="C45" s="585" t="s">
        <v>44</v>
      </c>
      <c r="D45" s="162">
        <v>1.1</v>
      </c>
      <c r="E45" s="146">
        <f>1.25*4.66</f>
        <v>5.825</v>
      </c>
      <c r="F45" s="146">
        <f>D45*E45</f>
        <v>6.407500000000001</v>
      </c>
      <c r="G45" s="534">
        <v>2684</v>
      </c>
    </row>
    <row r="46" spans="1:7" ht="12.75">
      <c r="A46" s="470" t="s">
        <v>1471</v>
      </c>
      <c r="B46" s="271" t="s">
        <v>1448</v>
      </c>
      <c r="C46" s="585" t="s">
        <v>34</v>
      </c>
      <c r="D46" s="162">
        <v>0.3</v>
      </c>
      <c r="E46" s="146">
        <f>1.25*14.71</f>
        <v>18.387500000000003</v>
      </c>
      <c r="F46" s="146">
        <f>D46*E46</f>
        <v>5.51625</v>
      </c>
      <c r="G46" s="534">
        <v>88247</v>
      </c>
    </row>
    <row r="47" spans="1:7" ht="12.75">
      <c r="A47" s="470" t="s">
        <v>1472</v>
      </c>
      <c r="B47" s="271" t="s">
        <v>1449</v>
      </c>
      <c r="C47" s="585" t="s">
        <v>34</v>
      </c>
      <c r="D47" s="162">
        <v>0.3</v>
      </c>
      <c r="E47" s="146">
        <f>1.25*19.67</f>
        <v>24.587500000000002</v>
      </c>
      <c r="F47" s="146">
        <f>D47*E47</f>
        <v>7.376250000000001</v>
      </c>
      <c r="G47" s="534">
        <v>88264</v>
      </c>
    </row>
    <row r="48" spans="1:7" ht="12.75">
      <c r="A48" s="662"/>
      <c r="B48" s="663"/>
      <c r="C48" s="664"/>
      <c r="D48" s="162"/>
      <c r="E48" s="436" t="s">
        <v>10</v>
      </c>
      <c r="F48" s="146">
        <f>SUM(F45:F47)</f>
        <v>19.300000000000004</v>
      </c>
      <c r="G48" s="665"/>
    </row>
    <row r="49" spans="1:7" ht="25.5">
      <c r="A49" s="360" t="s">
        <v>502</v>
      </c>
      <c r="B49" s="421" t="s">
        <v>1451</v>
      </c>
      <c r="C49" s="59" t="s">
        <v>5</v>
      </c>
      <c r="D49" s="60" t="s">
        <v>6</v>
      </c>
      <c r="E49" s="61" t="s">
        <v>29</v>
      </c>
      <c r="F49" s="61" t="s">
        <v>8</v>
      </c>
      <c r="G49" s="62" t="s">
        <v>30</v>
      </c>
    </row>
    <row r="50" spans="1:7" ht="12.75">
      <c r="A50" s="470" t="s">
        <v>1473</v>
      </c>
      <c r="B50" s="271" t="s">
        <v>1454</v>
      </c>
      <c r="C50" s="585" t="s">
        <v>44</v>
      </c>
      <c r="D50" s="162">
        <v>1.1</v>
      </c>
      <c r="E50" s="146">
        <f>1.25*5.12</f>
        <v>6.4</v>
      </c>
      <c r="F50" s="146">
        <f>D50*E50</f>
        <v>7.040000000000001</v>
      </c>
      <c r="G50" s="534">
        <v>2680</v>
      </c>
    </row>
    <row r="51" spans="1:7" ht="12.75">
      <c r="A51" s="470" t="s">
        <v>1474</v>
      </c>
      <c r="B51" s="271" t="s">
        <v>1448</v>
      </c>
      <c r="C51" s="585" t="s">
        <v>34</v>
      </c>
      <c r="D51" s="162">
        <v>0.45</v>
      </c>
      <c r="E51" s="146">
        <f>1.25*14.71</f>
        <v>18.387500000000003</v>
      </c>
      <c r="F51" s="146">
        <f>D51*E51</f>
        <v>8.274375000000001</v>
      </c>
      <c r="G51" s="534">
        <v>88247</v>
      </c>
    </row>
    <row r="52" spans="1:7" ht="12.75">
      <c r="A52" s="470" t="s">
        <v>1475</v>
      </c>
      <c r="B52" s="271" t="s">
        <v>1449</v>
      </c>
      <c r="C52" s="585" t="s">
        <v>34</v>
      </c>
      <c r="D52" s="162">
        <v>0.45</v>
      </c>
      <c r="E52" s="146">
        <f>1.25*19.67</f>
        <v>24.587500000000002</v>
      </c>
      <c r="F52" s="146">
        <f>D52*E52</f>
        <v>11.064375000000002</v>
      </c>
      <c r="G52" s="534">
        <v>88264</v>
      </c>
    </row>
    <row r="53" spans="1:7" ht="12.75">
      <c r="A53" s="662"/>
      <c r="B53" s="663"/>
      <c r="C53" s="664"/>
      <c r="D53" s="338"/>
      <c r="E53" s="657" t="s">
        <v>10</v>
      </c>
      <c r="F53" s="153">
        <f>SUM(F50:F52)</f>
        <v>26.378750000000004</v>
      </c>
      <c r="G53" s="665"/>
    </row>
    <row r="54" spans="1:7" ht="38.25">
      <c r="A54" s="78" t="s">
        <v>509</v>
      </c>
      <c r="B54" s="421" t="s">
        <v>620</v>
      </c>
      <c r="C54" s="59" t="s">
        <v>35</v>
      </c>
      <c r="D54" s="60" t="s">
        <v>6</v>
      </c>
      <c r="E54" s="61" t="s">
        <v>29</v>
      </c>
      <c r="F54" s="61" t="s">
        <v>8</v>
      </c>
      <c r="G54" s="79" t="s">
        <v>21</v>
      </c>
    </row>
    <row r="55" spans="1:7" ht="25.5">
      <c r="A55" s="461" t="s">
        <v>828</v>
      </c>
      <c r="B55" s="373" t="s">
        <v>622</v>
      </c>
      <c r="C55" s="420" t="s">
        <v>40</v>
      </c>
      <c r="D55" s="215">
        <v>1</v>
      </c>
      <c r="E55" s="146">
        <f>1.25*2418.86</f>
        <v>3023.5750000000003</v>
      </c>
      <c r="F55" s="146">
        <f>D55*E55</f>
        <v>3023.5750000000003</v>
      </c>
      <c r="G55" s="534" t="s">
        <v>45</v>
      </c>
    </row>
    <row r="56" spans="1:7" ht="12.75">
      <c r="A56" s="461" t="s">
        <v>829</v>
      </c>
      <c r="B56" s="373" t="s">
        <v>621</v>
      </c>
      <c r="C56" s="420" t="s">
        <v>34</v>
      </c>
      <c r="D56" s="215">
        <v>15</v>
      </c>
      <c r="E56" s="146">
        <f>1.25*22.01</f>
        <v>27.512500000000003</v>
      </c>
      <c r="F56" s="146">
        <f>D56*E56</f>
        <v>412.68750000000006</v>
      </c>
      <c r="G56" s="534" t="s">
        <v>1219</v>
      </c>
    </row>
    <row r="57" spans="5:6" ht="15">
      <c r="E57" s="415" t="s">
        <v>10</v>
      </c>
      <c r="F57" s="416">
        <f>SUM(F55:F56)</f>
        <v>3436.2625000000003</v>
      </c>
    </row>
    <row r="58" spans="1:7" ht="25.5">
      <c r="A58" s="78" t="s">
        <v>514</v>
      </c>
      <c r="B58" s="421" t="s">
        <v>200</v>
      </c>
      <c r="C58" s="59" t="s">
        <v>35</v>
      </c>
      <c r="D58" s="60" t="s">
        <v>6</v>
      </c>
      <c r="E58" s="61" t="s">
        <v>29</v>
      </c>
      <c r="F58" s="61" t="s">
        <v>8</v>
      </c>
      <c r="G58" s="79" t="s">
        <v>21</v>
      </c>
    </row>
    <row r="59" spans="1:7" ht="25.5">
      <c r="A59" s="461" t="s">
        <v>830</v>
      </c>
      <c r="B59" s="373" t="s">
        <v>200</v>
      </c>
      <c r="C59" s="420" t="s">
        <v>40</v>
      </c>
      <c r="D59" s="215">
        <v>1</v>
      </c>
      <c r="E59" s="146">
        <f>1.25*413.52/85</f>
        <v>6.081176470588235</v>
      </c>
      <c r="F59" s="146">
        <f>D59*E59</f>
        <v>6.081176470588235</v>
      </c>
      <c r="G59" s="534" t="s">
        <v>45</v>
      </c>
    </row>
    <row r="60" spans="1:7" ht="12.75">
      <c r="A60" s="461" t="s">
        <v>831</v>
      </c>
      <c r="B60" s="373" t="s">
        <v>617</v>
      </c>
      <c r="C60" s="420" t="s">
        <v>34</v>
      </c>
      <c r="D60" s="215">
        <v>0.1</v>
      </c>
      <c r="E60" s="146">
        <f>1.25*14.72</f>
        <v>18.400000000000002</v>
      </c>
      <c r="F60" s="146">
        <f>D60*E60</f>
        <v>1.8400000000000003</v>
      </c>
      <c r="G60" s="534" t="s">
        <v>1220</v>
      </c>
    </row>
    <row r="61" spans="1:7" ht="12.75">
      <c r="A61" s="461" t="s">
        <v>832</v>
      </c>
      <c r="B61" s="373" t="s">
        <v>380</v>
      </c>
      <c r="C61" s="420" t="s">
        <v>34</v>
      </c>
      <c r="D61" s="215">
        <v>0.1</v>
      </c>
      <c r="E61" s="146">
        <f>1.25*19.67</f>
        <v>24.587500000000002</v>
      </c>
      <c r="F61" s="146">
        <f>D61*E61</f>
        <v>2.45875</v>
      </c>
      <c r="G61" s="343" t="s">
        <v>1296</v>
      </c>
    </row>
    <row r="62" spans="5:6" ht="15">
      <c r="E62" s="415" t="s">
        <v>10</v>
      </c>
      <c r="F62" s="416">
        <f>SUM(F59:F61)</f>
        <v>10.379926470588236</v>
      </c>
    </row>
    <row r="63" spans="1:7" ht="12.75">
      <c r="A63" s="78" t="s">
        <v>515</v>
      </c>
      <c r="B63" s="421" t="s">
        <v>201</v>
      </c>
      <c r="C63" s="59" t="s">
        <v>35</v>
      </c>
      <c r="D63" s="60" t="s">
        <v>6</v>
      </c>
      <c r="E63" s="61" t="s">
        <v>29</v>
      </c>
      <c r="F63" s="61" t="s">
        <v>8</v>
      </c>
      <c r="G63" s="79" t="s">
        <v>21</v>
      </c>
    </row>
    <row r="64" spans="1:7" ht="12.75">
      <c r="A64" s="461" t="s">
        <v>833</v>
      </c>
      <c r="B64" s="373" t="s">
        <v>201</v>
      </c>
      <c r="C64" s="420" t="s">
        <v>40</v>
      </c>
      <c r="D64" s="215">
        <v>1</v>
      </c>
      <c r="E64" s="146">
        <f>1.25*79.89</f>
        <v>99.8625</v>
      </c>
      <c r="F64" s="146">
        <f>D64*E64</f>
        <v>99.8625</v>
      </c>
      <c r="G64" s="534" t="s">
        <v>45</v>
      </c>
    </row>
    <row r="65" spans="1:7" ht="12.75">
      <c r="A65" s="461" t="s">
        <v>834</v>
      </c>
      <c r="B65" s="373" t="s">
        <v>617</v>
      </c>
      <c r="C65" s="420" t="s">
        <v>34</v>
      </c>
      <c r="D65" s="215">
        <v>1</v>
      </c>
      <c r="E65" s="146">
        <f>1.25*14.72</f>
        <v>18.400000000000002</v>
      </c>
      <c r="F65" s="146">
        <f>D65*E65</f>
        <v>18.400000000000002</v>
      </c>
      <c r="G65" s="534" t="s">
        <v>1220</v>
      </c>
    </row>
    <row r="66" spans="1:7" ht="12.75">
      <c r="A66" s="461" t="s">
        <v>835</v>
      </c>
      <c r="B66" s="373" t="s">
        <v>380</v>
      </c>
      <c r="C66" s="420" t="s">
        <v>34</v>
      </c>
      <c r="D66" s="215">
        <v>1</v>
      </c>
      <c r="E66" s="146">
        <f>1.25*19.67</f>
        <v>24.587500000000002</v>
      </c>
      <c r="F66" s="146">
        <f>D66*E66</f>
        <v>24.587500000000002</v>
      </c>
      <c r="G66" s="343" t="s">
        <v>1296</v>
      </c>
    </row>
    <row r="67" spans="5:6" ht="15">
      <c r="E67" s="415" t="s">
        <v>10</v>
      </c>
      <c r="F67" s="416">
        <f>SUM(F64:F66)</f>
        <v>142.85</v>
      </c>
    </row>
    <row r="68" spans="1:7" ht="12.75">
      <c r="A68" s="78" t="s">
        <v>516</v>
      </c>
      <c r="B68" s="421" t="s">
        <v>623</v>
      </c>
      <c r="C68" s="59" t="s">
        <v>35</v>
      </c>
      <c r="D68" s="60" t="s">
        <v>6</v>
      </c>
      <c r="E68" s="61" t="s">
        <v>29</v>
      </c>
      <c r="F68" s="61" t="s">
        <v>8</v>
      </c>
      <c r="G68" s="79" t="s">
        <v>21</v>
      </c>
    </row>
    <row r="69" spans="1:7" ht="12.75">
      <c r="A69" s="461" t="s">
        <v>836</v>
      </c>
      <c r="B69" s="373" t="s">
        <v>623</v>
      </c>
      <c r="C69" s="420" t="s">
        <v>40</v>
      </c>
      <c r="D69" s="215">
        <v>1</v>
      </c>
      <c r="E69" s="146">
        <f>1.25*55.29/4.5</f>
        <v>15.358333333333333</v>
      </c>
      <c r="F69" s="146">
        <f>D69*E69</f>
        <v>15.358333333333333</v>
      </c>
      <c r="G69" s="534" t="s">
        <v>45</v>
      </c>
    </row>
    <row r="70" spans="1:7" ht="12.75">
      <c r="A70" s="461" t="s">
        <v>837</v>
      </c>
      <c r="B70" s="373" t="s">
        <v>617</v>
      </c>
      <c r="C70" s="420" t="s">
        <v>34</v>
      </c>
      <c r="D70" s="215">
        <f>0.05*3</f>
        <v>0.15000000000000002</v>
      </c>
      <c r="E70" s="146">
        <f>1.25*14.72</f>
        <v>18.400000000000002</v>
      </c>
      <c r="F70" s="146">
        <f>D70*E70</f>
        <v>2.7600000000000007</v>
      </c>
      <c r="G70" s="534" t="s">
        <v>1220</v>
      </c>
    </row>
    <row r="71" spans="1:7" ht="12.75">
      <c r="A71" s="461" t="s">
        <v>838</v>
      </c>
      <c r="B71" s="373" t="s">
        <v>380</v>
      </c>
      <c r="C71" s="420" t="s">
        <v>34</v>
      </c>
      <c r="D71" s="215">
        <f>0.05*3</f>
        <v>0.15000000000000002</v>
      </c>
      <c r="E71" s="146">
        <f>1.25*19.67</f>
        <v>24.587500000000002</v>
      </c>
      <c r="F71" s="146">
        <f>D71*E71</f>
        <v>3.6881250000000008</v>
      </c>
      <c r="G71" s="343" t="s">
        <v>1296</v>
      </c>
    </row>
    <row r="72" spans="5:6" ht="15">
      <c r="E72" s="415" t="s">
        <v>10</v>
      </c>
      <c r="F72" s="416">
        <f>SUM(F69:F71)</f>
        <v>21.80645833333333</v>
      </c>
    </row>
    <row r="73" spans="1:7" ht="12.75">
      <c r="A73" s="78" t="s">
        <v>518</v>
      </c>
      <c r="B73" s="421" t="s">
        <v>203</v>
      </c>
      <c r="C73" s="59" t="s">
        <v>35</v>
      </c>
      <c r="D73" s="60" t="s">
        <v>6</v>
      </c>
      <c r="E73" s="61" t="s">
        <v>29</v>
      </c>
      <c r="F73" s="61" t="s">
        <v>8</v>
      </c>
      <c r="G73" s="79" t="s">
        <v>21</v>
      </c>
    </row>
    <row r="74" spans="1:7" ht="12.75">
      <c r="A74" s="461" t="s">
        <v>839</v>
      </c>
      <c r="B74" s="373" t="s">
        <v>203</v>
      </c>
      <c r="C74" s="420" t="s">
        <v>40</v>
      </c>
      <c r="D74" s="215">
        <v>1</v>
      </c>
      <c r="E74" s="146">
        <f>1.25*340.88</f>
        <v>426.1</v>
      </c>
      <c r="F74" s="146">
        <f>D74*E74</f>
        <v>426.1</v>
      </c>
      <c r="G74" s="534" t="s">
        <v>45</v>
      </c>
    </row>
    <row r="75" spans="1:7" ht="12.75">
      <c r="A75" s="461" t="s">
        <v>840</v>
      </c>
      <c r="B75" s="373" t="s">
        <v>617</v>
      </c>
      <c r="C75" s="420" t="s">
        <v>34</v>
      </c>
      <c r="D75" s="215">
        <v>0.25</v>
      </c>
      <c r="E75" s="146">
        <f>1.25*14.72</f>
        <v>18.400000000000002</v>
      </c>
      <c r="F75" s="146">
        <f>D75*E75</f>
        <v>4.6000000000000005</v>
      </c>
      <c r="G75" s="534" t="s">
        <v>1220</v>
      </c>
    </row>
    <row r="76" spans="1:7" ht="12.75">
      <c r="A76" s="461" t="s">
        <v>841</v>
      </c>
      <c r="B76" s="373" t="s">
        <v>380</v>
      </c>
      <c r="C76" s="420" t="s">
        <v>34</v>
      </c>
      <c r="D76" s="215">
        <v>0.25</v>
      </c>
      <c r="E76" s="146">
        <f>1.25*19.67</f>
        <v>24.587500000000002</v>
      </c>
      <c r="F76" s="146">
        <f>D76*E76</f>
        <v>6.1468750000000005</v>
      </c>
      <c r="G76" s="343" t="s">
        <v>1296</v>
      </c>
    </row>
    <row r="77" spans="5:6" ht="15">
      <c r="E77" s="415" t="s">
        <v>10</v>
      </c>
      <c r="F77" s="416">
        <f>SUM(F74:F76)</f>
        <v>436.84687500000007</v>
      </c>
    </row>
    <row r="78" spans="1:7" ht="12.75">
      <c r="A78" s="78" t="s">
        <v>519</v>
      </c>
      <c r="B78" s="421" t="s">
        <v>204</v>
      </c>
      <c r="C78" s="59" t="s">
        <v>35</v>
      </c>
      <c r="D78" s="60" t="s">
        <v>6</v>
      </c>
      <c r="E78" s="61" t="s">
        <v>29</v>
      </c>
      <c r="F78" s="61" t="s">
        <v>8</v>
      </c>
      <c r="G78" s="79" t="s">
        <v>21</v>
      </c>
    </row>
    <row r="79" spans="1:7" ht="12.75">
      <c r="A79" s="461" t="s">
        <v>842</v>
      </c>
      <c r="B79" s="373" t="s">
        <v>204</v>
      </c>
      <c r="C79" s="420" t="s">
        <v>40</v>
      </c>
      <c r="D79" s="215">
        <v>1</v>
      </c>
      <c r="E79" s="146">
        <f>1.25*876.31</f>
        <v>1095.3874999999998</v>
      </c>
      <c r="F79" s="146">
        <f>D79*E79</f>
        <v>1095.3874999999998</v>
      </c>
      <c r="G79" s="534" t="s">
        <v>45</v>
      </c>
    </row>
    <row r="80" spans="1:7" ht="12.75">
      <c r="A80" s="461" t="s">
        <v>843</v>
      </c>
      <c r="B80" s="373" t="s">
        <v>617</v>
      </c>
      <c r="C80" s="420" t="s">
        <v>34</v>
      </c>
      <c r="D80" s="215">
        <v>0.25</v>
      </c>
      <c r="E80" s="146">
        <f>1.25*14.72</f>
        <v>18.400000000000002</v>
      </c>
      <c r="F80" s="146">
        <f>D80*E80</f>
        <v>4.6000000000000005</v>
      </c>
      <c r="G80" s="534" t="s">
        <v>1220</v>
      </c>
    </row>
    <row r="81" spans="1:7" ht="12.75">
      <c r="A81" s="461" t="s">
        <v>844</v>
      </c>
      <c r="B81" s="373" t="s">
        <v>380</v>
      </c>
      <c r="C81" s="420" t="s">
        <v>34</v>
      </c>
      <c r="D81" s="215">
        <v>0.25</v>
      </c>
      <c r="E81" s="146">
        <f>1.25*19.67</f>
        <v>24.587500000000002</v>
      </c>
      <c r="F81" s="146">
        <f>D81*E81</f>
        <v>6.1468750000000005</v>
      </c>
      <c r="G81" s="343" t="s">
        <v>1296</v>
      </c>
    </row>
    <row r="82" spans="5:6" ht="15">
      <c r="E82" s="415" t="s">
        <v>10</v>
      </c>
      <c r="F82" s="416">
        <f>SUM(F79:F81)</f>
        <v>1106.1343749999996</v>
      </c>
    </row>
    <row r="83" spans="1:7" ht="12.75">
      <c r="A83" s="78" t="s">
        <v>520</v>
      </c>
      <c r="B83" s="421" t="s">
        <v>205</v>
      </c>
      <c r="C83" s="59" t="s">
        <v>35</v>
      </c>
      <c r="D83" s="60" t="s">
        <v>6</v>
      </c>
      <c r="E83" s="61" t="s">
        <v>29</v>
      </c>
      <c r="F83" s="61" t="s">
        <v>8</v>
      </c>
      <c r="G83" s="79" t="s">
        <v>21</v>
      </c>
    </row>
    <row r="84" spans="1:7" ht="12.75">
      <c r="A84" s="461" t="s">
        <v>845</v>
      </c>
      <c r="B84" s="373" t="s">
        <v>205</v>
      </c>
      <c r="C84" s="420" t="s">
        <v>40</v>
      </c>
      <c r="D84" s="215">
        <v>1</v>
      </c>
      <c r="E84" s="146">
        <f>1.25*496.6</f>
        <v>620.75</v>
      </c>
      <c r="F84" s="146">
        <f>D84*E84</f>
        <v>620.75</v>
      </c>
      <c r="G84" s="534" t="s">
        <v>45</v>
      </c>
    </row>
    <row r="85" spans="1:7" ht="12.75">
      <c r="A85" s="461" t="s">
        <v>846</v>
      </c>
      <c r="B85" s="373" t="s">
        <v>617</v>
      </c>
      <c r="C85" s="420" t="s">
        <v>34</v>
      </c>
      <c r="D85" s="215">
        <v>0.25</v>
      </c>
      <c r="E85" s="146">
        <f>1.25*14.72</f>
        <v>18.400000000000002</v>
      </c>
      <c r="F85" s="146">
        <f>D85*E85</f>
        <v>4.6000000000000005</v>
      </c>
      <c r="G85" s="534" t="s">
        <v>1220</v>
      </c>
    </row>
    <row r="86" spans="1:7" ht="12.75">
      <c r="A86" s="461" t="s">
        <v>847</v>
      </c>
      <c r="B86" s="373" t="s">
        <v>380</v>
      </c>
      <c r="C86" s="420" t="s">
        <v>34</v>
      </c>
      <c r="D86" s="215">
        <v>0.25</v>
      </c>
      <c r="E86" s="146">
        <f>1.25*19.67</f>
        <v>24.587500000000002</v>
      </c>
      <c r="F86" s="146">
        <f>D86*E86</f>
        <v>6.1468750000000005</v>
      </c>
      <c r="G86" s="343" t="s">
        <v>1296</v>
      </c>
    </row>
    <row r="87" spans="5:6" ht="15">
      <c r="E87" s="415" t="s">
        <v>10</v>
      </c>
      <c r="F87" s="416">
        <f>SUM(F84:F86)</f>
        <v>631.496875</v>
      </c>
    </row>
  </sheetData>
  <sheetProtection password="E5F2" sheet="1" objects="1" scenarios="1" selectLockedCells="1" selectUnlockedCells="1"/>
  <mergeCells count="8">
    <mergeCell ref="C8:F8"/>
    <mergeCell ref="A36:F36"/>
    <mergeCell ref="A1:F1"/>
    <mergeCell ref="A2:F2"/>
    <mergeCell ref="A3:F3"/>
    <mergeCell ref="A4:F4"/>
    <mergeCell ref="A5:F5"/>
    <mergeCell ref="A6:F6"/>
  </mergeCells>
  <hyperlinks>
    <hyperlink ref="B34" r:id="rId1" display="http://www.furukawa.com.br/br/produtos/conectividade-optica/distribuidor-optico-ou-bastidor-de-emenda/dio-gerenciavel-8x8-lc-duplex-790.html"/>
  </hyperlink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H113"/>
  <sheetViews>
    <sheetView zoomScalePageLayoutView="0" workbookViewId="0" topLeftCell="A1">
      <selection activeCell="G9" sqref="G9"/>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7" s="5" customFormat="1" ht="30" customHeight="1" thickBot="1">
      <c r="A7" s="16" t="s">
        <v>1</v>
      </c>
      <c r="B7" s="17" t="s">
        <v>4</v>
      </c>
      <c r="C7" s="18" t="s">
        <v>35</v>
      </c>
      <c r="D7" s="26" t="s">
        <v>6</v>
      </c>
      <c r="E7" s="27" t="s">
        <v>7</v>
      </c>
      <c r="F7" s="28" t="s">
        <v>8</v>
      </c>
      <c r="G7" s="89"/>
    </row>
    <row r="8" spans="1:7" ht="30" customHeight="1" thickBot="1">
      <c r="A8" s="83">
        <v>14</v>
      </c>
      <c r="B8" s="83" t="str">
        <f>GERAL!B20</f>
        <v>INSTALAÇÕES HIDROSSANITÁRIAS</v>
      </c>
      <c r="C8" s="756">
        <f>SUM(F9:F27)</f>
        <v>12345.6576967</v>
      </c>
      <c r="D8" s="757"/>
      <c r="E8" s="757"/>
      <c r="F8" s="758"/>
      <c r="G8" s="493" t="s">
        <v>21</v>
      </c>
    </row>
    <row r="9" spans="1:7" ht="25.5">
      <c r="A9" s="474" t="s">
        <v>848</v>
      </c>
      <c r="B9" s="101" t="s">
        <v>307</v>
      </c>
      <c r="C9" s="139" t="s">
        <v>11</v>
      </c>
      <c r="D9" s="249">
        <v>1</v>
      </c>
      <c r="E9" s="151">
        <f>F36</f>
        <v>1275.8315</v>
      </c>
      <c r="F9" s="238">
        <f>D9*E9</f>
        <v>1275.8315</v>
      </c>
      <c r="G9" s="235" t="s">
        <v>33</v>
      </c>
    </row>
    <row r="10" spans="1:7" ht="12.75">
      <c r="A10" s="473" t="s">
        <v>849</v>
      </c>
      <c r="B10" s="96" t="s">
        <v>206</v>
      </c>
      <c r="C10" s="140" t="s">
        <v>11</v>
      </c>
      <c r="D10" s="251">
        <v>1</v>
      </c>
      <c r="E10" s="152">
        <f>F42</f>
        <v>443.71875000000006</v>
      </c>
      <c r="F10" s="210">
        <f aca="true" t="shared" si="0" ref="F10:F27">D10*E10</f>
        <v>443.71875000000006</v>
      </c>
      <c r="G10" s="181" t="s">
        <v>33</v>
      </c>
    </row>
    <row r="11" spans="1:7" ht="12.75">
      <c r="A11" s="473" t="s">
        <v>850</v>
      </c>
      <c r="B11" s="96" t="s">
        <v>207</v>
      </c>
      <c r="C11" s="140" t="s">
        <v>11</v>
      </c>
      <c r="D11" s="251">
        <v>1</v>
      </c>
      <c r="E11" s="152">
        <f>1.25*89.12</f>
        <v>111.4</v>
      </c>
      <c r="F11" s="210">
        <f t="shared" si="0"/>
        <v>111.4</v>
      </c>
      <c r="G11" s="511" t="s">
        <v>1284</v>
      </c>
    </row>
    <row r="12" spans="1:7" ht="12.75" customHeight="1">
      <c r="A12" s="473" t="s">
        <v>851</v>
      </c>
      <c r="B12" s="374" t="s">
        <v>208</v>
      </c>
      <c r="C12" s="140" t="s">
        <v>11</v>
      </c>
      <c r="D12" s="251">
        <v>2</v>
      </c>
      <c r="E12" s="152">
        <f>1.25*45.02</f>
        <v>56.275000000000006</v>
      </c>
      <c r="F12" s="210">
        <f t="shared" si="0"/>
        <v>112.55000000000001</v>
      </c>
      <c r="G12" s="511" t="s">
        <v>1285</v>
      </c>
    </row>
    <row r="13" spans="1:7" ht="25.5">
      <c r="A13" s="473" t="s">
        <v>852</v>
      </c>
      <c r="B13" s="374" t="s">
        <v>209</v>
      </c>
      <c r="C13" s="140" t="s">
        <v>11</v>
      </c>
      <c r="D13" s="251">
        <v>3</v>
      </c>
      <c r="E13" s="152">
        <f>F47</f>
        <v>21.7575</v>
      </c>
      <c r="F13" s="210">
        <f t="shared" si="0"/>
        <v>65.27250000000001</v>
      </c>
      <c r="G13" s="181" t="s">
        <v>33</v>
      </c>
    </row>
    <row r="14" spans="1:7" ht="25.5">
      <c r="A14" s="473" t="s">
        <v>853</v>
      </c>
      <c r="B14" s="375" t="s">
        <v>210</v>
      </c>
      <c r="C14" s="140" t="s">
        <v>11</v>
      </c>
      <c r="D14" s="251">
        <v>2</v>
      </c>
      <c r="E14" s="152">
        <f>F55</f>
        <v>133.736625</v>
      </c>
      <c r="F14" s="210">
        <f t="shared" si="0"/>
        <v>267.47325</v>
      </c>
      <c r="G14" s="181" t="s">
        <v>33</v>
      </c>
    </row>
    <row r="15" spans="1:7" ht="12.75">
      <c r="A15" s="473" t="s">
        <v>854</v>
      </c>
      <c r="B15" s="375" t="s">
        <v>211</v>
      </c>
      <c r="C15" s="140" t="s">
        <v>11</v>
      </c>
      <c r="D15" s="251">
        <v>2</v>
      </c>
      <c r="E15" s="152">
        <f>1.25*15.98</f>
        <v>19.975</v>
      </c>
      <c r="F15" s="210">
        <f t="shared" si="0"/>
        <v>39.95</v>
      </c>
      <c r="G15" s="511" t="s">
        <v>1286</v>
      </c>
    </row>
    <row r="16" spans="1:7" ht="12.75">
      <c r="A16" s="473" t="s">
        <v>855</v>
      </c>
      <c r="B16" s="375" t="s">
        <v>1282</v>
      </c>
      <c r="C16" s="140" t="s">
        <v>11</v>
      </c>
      <c r="D16" s="251">
        <v>1</v>
      </c>
      <c r="E16" s="152">
        <f>1.25*23.16</f>
        <v>28.95</v>
      </c>
      <c r="F16" s="210">
        <f t="shared" si="0"/>
        <v>28.95</v>
      </c>
      <c r="G16" s="511" t="s">
        <v>1287</v>
      </c>
    </row>
    <row r="17" spans="1:7" ht="12.75" customHeight="1">
      <c r="A17" s="473" t="s">
        <v>856</v>
      </c>
      <c r="B17" s="375" t="s">
        <v>212</v>
      </c>
      <c r="C17" s="140" t="s">
        <v>11</v>
      </c>
      <c r="D17" s="251">
        <v>2</v>
      </c>
      <c r="E17" s="152">
        <f>1.25*116.62</f>
        <v>145.775</v>
      </c>
      <c r="F17" s="210">
        <f t="shared" si="0"/>
        <v>291.55</v>
      </c>
      <c r="G17" s="511" t="s">
        <v>1288</v>
      </c>
    </row>
    <row r="18" spans="1:7" ht="25.5">
      <c r="A18" s="473" t="s">
        <v>857</v>
      </c>
      <c r="B18" s="375" t="s">
        <v>673</v>
      </c>
      <c r="C18" s="140" t="s">
        <v>44</v>
      </c>
      <c r="D18" s="251">
        <v>18</v>
      </c>
      <c r="E18" s="152">
        <f>F62</f>
        <v>19.5586512</v>
      </c>
      <c r="F18" s="210">
        <f t="shared" si="0"/>
        <v>352.05572159999997</v>
      </c>
      <c r="G18" s="511" t="s">
        <v>33</v>
      </c>
    </row>
    <row r="19" spans="1:7" ht="25.5">
      <c r="A19" s="473" t="s">
        <v>858</v>
      </c>
      <c r="B19" s="375" t="s">
        <v>674</v>
      </c>
      <c r="C19" s="140" t="s">
        <v>44</v>
      </c>
      <c r="D19" s="251">
        <v>24</v>
      </c>
      <c r="E19" s="152">
        <f>F69</f>
        <v>34.9087474</v>
      </c>
      <c r="F19" s="210">
        <f t="shared" si="0"/>
        <v>837.8099376</v>
      </c>
      <c r="G19" s="511" t="s">
        <v>33</v>
      </c>
    </row>
    <row r="20" spans="1:8" ht="25.5">
      <c r="A20" s="473" t="s">
        <v>859</v>
      </c>
      <c r="B20" s="375" t="s">
        <v>675</v>
      </c>
      <c r="C20" s="140" t="s">
        <v>44</v>
      </c>
      <c r="D20" s="251">
        <v>12</v>
      </c>
      <c r="E20" s="152">
        <f>F76</f>
        <v>41.31947125</v>
      </c>
      <c r="F20" s="210">
        <f t="shared" si="0"/>
        <v>495.833655</v>
      </c>
      <c r="G20" s="511" t="s">
        <v>33</v>
      </c>
      <c r="H20" s="111"/>
    </row>
    <row r="21" spans="1:7" ht="25.5">
      <c r="A21" s="473" t="s">
        <v>860</v>
      </c>
      <c r="B21" s="375" t="s">
        <v>676</v>
      </c>
      <c r="C21" s="140" t="s">
        <v>44</v>
      </c>
      <c r="D21" s="251">
        <v>18</v>
      </c>
      <c r="E21" s="152">
        <f>F82</f>
        <v>54.596250000000005</v>
      </c>
      <c r="F21" s="210">
        <f t="shared" si="0"/>
        <v>982.7325000000001</v>
      </c>
      <c r="G21" s="511" t="s">
        <v>33</v>
      </c>
    </row>
    <row r="22" spans="1:7" ht="25.5">
      <c r="A22" s="473" t="s">
        <v>861</v>
      </c>
      <c r="B22" s="375" t="s">
        <v>677</v>
      </c>
      <c r="C22" s="140" t="s">
        <v>44</v>
      </c>
      <c r="D22" s="251">
        <v>8</v>
      </c>
      <c r="E22" s="152">
        <f>F88</f>
        <v>69.77125000000001</v>
      </c>
      <c r="F22" s="210">
        <f t="shared" si="0"/>
        <v>558.1700000000001</v>
      </c>
      <c r="G22" s="511" t="s">
        <v>33</v>
      </c>
    </row>
    <row r="23" spans="1:7" ht="25.5">
      <c r="A23" s="473" t="s">
        <v>862</v>
      </c>
      <c r="B23" s="375" t="s">
        <v>678</v>
      </c>
      <c r="C23" s="140" t="s">
        <v>44</v>
      </c>
      <c r="D23" s="251">
        <v>22</v>
      </c>
      <c r="E23" s="132">
        <f>F94</f>
        <v>109.1625</v>
      </c>
      <c r="F23" s="210">
        <f t="shared" si="0"/>
        <v>2401.575</v>
      </c>
      <c r="G23" s="511" t="s">
        <v>33</v>
      </c>
    </row>
    <row r="24" spans="1:7" ht="51">
      <c r="A24" s="473" t="s">
        <v>863</v>
      </c>
      <c r="B24" s="259" t="s">
        <v>383</v>
      </c>
      <c r="C24" s="175" t="s">
        <v>11</v>
      </c>
      <c r="D24" s="255">
        <v>3</v>
      </c>
      <c r="E24" s="152">
        <f>1.25*780.39</f>
        <v>975.4875</v>
      </c>
      <c r="F24" s="210">
        <f t="shared" si="0"/>
        <v>2926.4624999999996</v>
      </c>
      <c r="G24" s="511" t="s">
        <v>1563</v>
      </c>
    </row>
    <row r="25" spans="1:7" ht="38.25">
      <c r="A25" s="473" t="s">
        <v>864</v>
      </c>
      <c r="B25" s="361" t="s">
        <v>237</v>
      </c>
      <c r="C25" s="175" t="s">
        <v>11</v>
      </c>
      <c r="D25" s="255">
        <v>1</v>
      </c>
      <c r="E25" s="176">
        <f>F100</f>
        <v>341.81064499999997</v>
      </c>
      <c r="F25" s="210">
        <f t="shared" si="0"/>
        <v>341.81064499999997</v>
      </c>
      <c r="G25" s="181" t="s">
        <v>33</v>
      </c>
    </row>
    <row r="26" spans="1:7" ht="25.5">
      <c r="A26" s="473" t="s">
        <v>865</v>
      </c>
      <c r="B26" s="361" t="s">
        <v>238</v>
      </c>
      <c r="C26" s="175" t="s">
        <v>11</v>
      </c>
      <c r="D26" s="255">
        <v>1</v>
      </c>
      <c r="E26" s="176">
        <f>F106</f>
        <v>298.985645</v>
      </c>
      <c r="F26" s="210">
        <f t="shared" si="0"/>
        <v>298.985645</v>
      </c>
      <c r="G26" s="181" t="s">
        <v>33</v>
      </c>
    </row>
    <row r="27" spans="1:7" ht="39" thickBot="1">
      <c r="A27" s="473" t="s">
        <v>866</v>
      </c>
      <c r="B27" s="557" t="s">
        <v>239</v>
      </c>
      <c r="C27" s="558" t="s">
        <v>11</v>
      </c>
      <c r="D27" s="559">
        <v>1</v>
      </c>
      <c r="E27" s="571">
        <f>F113</f>
        <v>513.5260925000001</v>
      </c>
      <c r="F27" s="560">
        <f t="shared" si="0"/>
        <v>513.5260925000001</v>
      </c>
      <c r="G27" s="236" t="s">
        <v>33</v>
      </c>
    </row>
    <row r="28" spans="1:6" ht="30" customHeight="1" thickBot="1">
      <c r="A28" s="753"/>
      <c r="B28" s="754"/>
      <c r="C28" s="754"/>
      <c r="D28" s="754"/>
      <c r="E28" s="754"/>
      <c r="F28" s="755"/>
    </row>
    <row r="30" spans="1:7" ht="12.75">
      <c r="A30" s="72"/>
      <c r="B30" s="57" t="s">
        <v>28</v>
      </c>
      <c r="C30" s="56"/>
      <c r="D30" s="56"/>
      <c r="E30" s="56"/>
      <c r="F30" s="56"/>
      <c r="G30" s="58"/>
    </row>
    <row r="31" spans="1:7" ht="12.75">
      <c r="A31" s="360" t="s">
        <v>848</v>
      </c>
      <c r="B31" s="115" t="s">
        <v>213</v>
      </c>
      <c r="C31" s="59" t="s">
        <v>35</v>
      </c>
      <c r="D31" s="60" t="s">
        <v>6</v>
      </c>
      <c r="E31" s="61" t="s">
        <v>29</v>
      </c>
      <c r="F31" s="61" t="s">
        <v>8</v>
      </c>
      <c r="G31" s="79" t="s">
        <v>21</v>
      </c>
    </row>
    <row r="32" spans="1:7" ht="12.75">
      <c r="A32" s="73" t="s">
        <v>867</v>
      </c>
      <c r="B32" s="55" t="s">
        <v>378</v>
      </c>
      <c r="C32" s="70" t="s">
        <v>11</v>
      </c>
      <c r="D32" s="345">
        <v>1</v>
      </c>
      <c r="E32" s="432">
        <f>1.25*757.4</f>
        <v>946.75</v>
      </c>
      <c r="F32" s="66">
        <f>D32*E32</f>
        <v>946.75</v>
      </c>
      <c r="G32" s="70" t="s">
        <v>1289</v>
      </c>
    </row>
    <row r="33" spans="1:7" ht="12.75">
      <c r="A33" s="73" t="s">
        <v>868</v>
      </c>
      <c r="B33" s="55" t="s">
        <v>375</v>
      </c>
      <c r="C33" s="70" t="s">
        <v>11</v>
      </c>
      <c r="D33" s="345">
        <v>0.33</v>
      </c>
      <c r="E33" s="432">
        <f>1.25*3.04</f>
        <v>3.8</v>
      </c>
      <c r="F33" s="66">
        <f>D33*E33</f>
        <v>1.254</v>
      </c>
      <c r="G33" s="70" t="s">
        <v>1290</v>
      </c>
    </row>
    <row r="34" spans="1:7" ht="12.75">
      <c r="A34" s="73" t="s">
        <v>869</v>
      </c>
      <c r="B34" s="55" t="s">
        <v>376</v>
      </c>
      <c r="C34" s="70" t="s">
        <v>34</v>
      </c>
      <c r="D34" s="345">
        <v>7.7</v>
      </c>
      <c r="E34" s="432">
        <f>1.25*19.42</f>
        <v>24.275000000000002</v>
      </c>
      <c r="F34" s="66">
        <f>D34*E34</f>
        <v>186.91750000000002</v>
      </c>
      <c r="G34" s="70" t="s">
        <v>1291</v>
      </c>
    </row>
    <row r="35" spans="1:7" ht="12.75">
      <c r="A35" s="73" t="s">
        <v>870</v>
      </c>
      <c r="B35" s="55" t="s">
        <v>377</v>
      </c>
      <c r="C35" s="70" t="s">
        <v>34</v>
      </c>
      <c r="D35" s="345">
        <v>7.7</v>
      </c>
      <c r="E35" s="432">
        <f>1.25*14.64</f>
        <v>18.3</v>
      </c>
      <c r="F35" s="66">
        <f>D35*E35</f>
        <v>140.91</v>
      </c>
      <c r="G35" s="70" t="s">
        <v>1292</v>
      </c>
    </row>
    <row r="36" spans="1:7" ht="12.75">
      <c r="A36" s="73"/>
      <c r="B36" s="55"/>
      <c r="C36" s="70"/>
      <c r="D36" s="345"/>
      <c r="E36" s="65" t="s">
        <v>31</v>
      </c>
      <c r="F36" s="66">
        <f>SUM(F32:F35)</f>
        <v>1275.8315</v>
      </c>
      <c r="G36" s="70"/>
    </row>
    <row r="37" spans="1:7" ht="12.75">
      <c r="A37" s="360" t="s">
        <v>849</v>
      </c>
      <c r="B37" s="115" t="s">
        <v>206</v>
      </c>
      <c r="C37" s="59" t="s">
        <v>35</v>
      </c>
      <c r="D37" s="60" t="s">
        <v>6</v>
      </c>
      <c r="E37" s="61" t="s">
        <v>29</v>
      </c>
      <c r="F37" s="61" t="s">
        <v>8</v>
      </c>
      <c r="G37" s="79" t="s">
        <v>21</v>
      </c>
    </row>
    <row r="38" spans="1:7" ht="12.75">
      <c r="A38" s="412" t="s">
        <v>871</v>
      </c>
      <c r="B38" s="55" t="s">
        <v>381</v>
      </c>
      <c r="C38" s="70" t="s">
        <v>41</v>
      </c>
      <c r="D38" s="345">
        <v>0.5</v>
      </c>
      <c r="E38" s="66">
        <f>1.25*0.35</f>
        <v>0.4375</v>
      </c>
      <c r="F38" s="66">
        <f>D38*E38</f>
        <v>0.21875</v>
      </c>
      <c r="G38" s="70" t="s">
        <v>1293</v>
      </c>
    </row>
    <row r="39" spans="1:7" ht="12.75">
      <c r="A39" s="412" t="s">
        <v>872</v>
      </c>
      <c r="B39" s="55" t="s">
        <v>1283</v>
      </c>
      <c r="C39" s="70" t="s">
        <v>40</v>
      </c>
      <c r="D39" s="345">
        <v>1</v>
      </c>
      <c r="E39" s="66">
        <f>1.25*288.42</f>
        <v>360.52500000000003</v>
      </c>
      <c r="F39" s="66">
        <f>D39*E39</f>
        <v>360.52500000000003</v>
      </c>
      <c r="G39" s="70" t="s">
        <v>1294</v>
      </c>
    </row>
    <row r="40" spans="1:7" ht="12.75">
      <c r="A40" s="412" t="s">
        <v>873</v>
      </c>
      <c r="B40" s="165" t="s">
        <v>373</v>
      </c>
      <c r="C40" s="70" t="s">
        <v>34</v>
      </c>
      <c r="D40" s="345">
        <v>2</v>
      </c>
      <c r="E40" s="66">
        <f>1.25*19.42</f>
        <v>24.275000000000002</v>
      </c>
      <c r="F40" s="66">
        <f>D40*E40</f>
        <v>48.550000000000004</v>
      </c>
      <c r="G40" s="70" t="s">
        <v>1291</v>
      </c>
    </row>
    <row r="41" spans="1:7" ht="12.75">
      <c r="A41" s="412" t="s">
        <v>874</v>
      </c>
      <c r="B41" s="165" t="s">
        <v>349</v>
      </c>
      <c r="C41" s="70" t="s">
        <v>34</v>
      </c>
      <c r="D41" s="345">
        <v>2</v>
      </c>
      <c r="E41" s="66">
        <f>1.25*13.77</f>
        <v>17.2125</v>
      </c>
      <c r="F41" s="66">
        <f>D41*E41</f>
        <v>34.425</v>
      </c>
      <c r="G41" s="70" t="s">
        <v>1142</v>
      </c>
    </row>
    <row r="42" spans="1:7" ht="15">
      <c r="A42" s="412"/>
      <c r="B42" s="435"/>
      <c r="C42" s="436"/>
      <c r="D42" s="436"/>
      <c r="E42" s="65" t="s">
        <v>31</v>
      </c>
      <c r="F42" s="66">
        <f>SUM(F38:F41)</f>
        <v>443.71875000000006</v>
      </c>
      <c r="G42" s="437"/>
    </row>
    <row r="43" spans="1:7" ht="25.5">
      <c r="A43" s="78" t="s">
        <v>852</v>
      </c>
      <c r="B43" s="421" t="s">
        <v>209</v>
      </c>
      <c r="C43" s="59" t="s">
        <v>35</v>
      </c>
      <c r="D43" s="60" t="s">
        <v>6</v>
      </c>
      <c r="E43" s="61" t="s">
        <v>29</v>
      </c>
      <c r="F43" s="61" t="s">
        <v>8</v>
      </c>
      <c r="G43" s="79" t="s">
        <v>21</v>
      </c>
    </row>
    <row r="44" spans="1:7" ht="25.5">
      <c r="A44" s="426" t="s">
        <v>875</v>
      </c>
      <c r="B44" s="671" t="s">
        <v>209</v>
      </c>
      <c r="C44" s="429" t="s">
        <v>40</v>
      </c>
      <c r="D44" s="425">
        <v>1</v>
      </c>
      <c r="E44" s="66">
        <f>1.25*4.13</f>
        <v>5.1625</v>
      </c>
      <c r="F44" s="66">
        <f>D44*E44</f>
        <v>5.1625</v>
      </c>
      <c r="G44" s="459" t="s">
        <v>1295</v>
      </c>
    </row>
    <row r="45" spans="1:7" ht="12.75">
      <c r="A45" s="426" t="s">
        <v>876</v>
      </c>
      <c r="B45" s="672" t="s">
        <v>373</v>
      </c>
      <c r="C45" s="422" t="s">
        <v>34</v>
      </c>
      <c r="D45" s="334">
        <v>0.4</v>
      </c>
      <c r="E45" s="66">
        <f>1.25*19.42</f>
        <v>24.275000000000002</v>
      </c>
      <c r="F45" s="66">
        <f>D45*E45</f>
        <v>9.71</v>
      </c>
      <c r="G45" s="459" t="s">
        <v>1291</v>
      </c>
    </row>
    <row r="46" spans="1:7" ht="12.75">
      <c r="A46" s="426" t="s">
        <v>877</v>
      </c>
      <c r="B46" s="672" t="s">
        <v>349</v>
      </c>
      <c r="C46" s="422" t="s">
        <v>34</v>
      </c>
      <c r="D46" s="334">
        <v>0.4</v>
      </c>
      <c r="E46" s="66">
        <f>1.25*13.77</f>
        <v>17.2125</v>
      </c>
      <c r="F46" s="66">
        <f>D46*E46</f>
        <v>6.885</v>
      </c>
      <c r="G46" s="459" t="s">
        <v>1142</v>
      </c>
    </row>
    <row r="47" spans="1:7" s="111" customFormat="1" ht="15">
      <c r="A47" s="412"/>
      <c r="B47" s="6"/>
      <c r="C47" s="7"/>
      <c r="D47" s="7"/>
      <c r="E47" s="412" t="s">
        <v>10</v>
      </c>
      <c r="F47" s="66">
        <f>SUM(F44:F46)</f>
        <v>21.7575</v>
      </c>
      <c r="G47" s="33"/>
    </row>
    <row r="48" spans="1:7" s="111" customFormat="1" ht="25.5">
      <c r="A48" s="78" t="s">
        <v>853</v>
      </c>
      <c r="B48" s="421" t="s">
        <v>210</v>
      </c>
      <c r="C48" s="59" t="s">
        <v>35</v>
      </c>
      <c r="D48" s="60" t="s">
        <v>6</v>
      </c>
      <c r="E48" s="61" t="s">
        <v>29</v>
      </c>
      <c r="F48" s="61" t="s">
        <v>8</v>
      </c>
      <c r="G48" s="79" t="s">
        <v>21</v>
      </c>
    </row>
    <row r="49" spans="1:7" ht="12.75" customHeight="1">
      <c r="A49" s="679" t="s">
        <v>1548</v>
      </c>
      <c r="B49" s="680" t="s">
        <v>1554</v>
      </c>
      <c r="C49" s="681" t="s">
        <v>36</v>
      </c>
      <c r="D49" s="682">
        <f>1.5*0.11</f>
        <v>0.165</v>
      </c>
      <c r="E49" s="683">
        <f>1.25*61.67</f>
        <v>77.0875</v>
      </c>
      <c r="F49" s="678">
        <f aca="true" t="shared" si="1" ref="F49:F54">D49*E49</f>
        <v>12.719437500000002</v>
      </c>
      <c r="G49" s="684" t="s">
        <v>1559</v>
      </c>
    </row>
    <row r="50" spans="1:7" ht="12.75">
      <c r="A50" s="679" t="s">
        <v>1549</v>
      </c>
      <c r="B50" s="680" t="s">
        <v>1555</v>
      </c>
      <c r="C50" s="681" t="s">
        <v>1558</v>
      </c>
      <c r="D50" s="685">
        <f>1.5*0.41</f>
        <v>0.615</v>
      </c>
      <c r="E50" s="683">
        <f>1.25*17.05</f>
        <v>21.3125</v>
      </c>
      <c r="F50" s="678">
        <f t="shared" si="1"/>
        <v>13.1071875</v>
      </c>
      <c r="G50" s="684" t="s">
        <v>1560</v>
      </c>
    </row>
    <row r="51" spans="1:7" ht="12.75">
      <c r="A51" s="679" t="s">
        <v>1550</v>
      </c>
      <c r="B51" s="680" t="s">
        <v>1556</v>
      </c>
      <c r="C51" s="681" t="s">
        <v>36</v>
      </c>
      <c r="D51" s="685">
        <f>1.5*0.031</f>
        <v>0.0465</v>
      </c>
      <c r="E51" s="683">
        <f>1.25*58</f>
        <v>72.5</v>
      </c>
      <c r="F51" s="678">
        <f t="shared" si="1"/>
        <v>3.37125</v>
      </c>
      <c r="G51" s="684" t="s">
        <v>1561</v>
      </c>
    </row>
    <row r="52" spans="1:7" ht="12.75">
      <c r="A52" s="679" t="s">
        <v>1551</v>
      </c>
      <c r="B52" s="680" t="s">
        <v>1557</v>
      </c>
      <c r="C52" s="681" t="s">
        <v>40</v>
      </c>
      <c r="D52" s="685">
        <f>1.5*20</f>
        <v>30</v>
      </c>
      <c r="E52" s="683">
        <f>1.25*0.41</f>
        <v>0.5125</v>
      </c>
      <c r="F52" s="678">
        <f t="shared" si="1"/>
        <v>15.374999999999998</v>
      </c>
      <c r="G52" s="684" t="s">
        <v>1562</v>
      </c>
    </row>
    <row r="53" spans="1:7" ht="12.75">
      <c r="A53" s="679" t="s">
        <v>1552</v>
      </c>
      <c r="B53" s="680" t="s">
        <v>350</v>
      </c>
      <c r="C53" s="681" t="s">
        <v>34</v>
      </c>
      <c r="D53" s="685">
        <f>1.5*0.98</f>
        <v>1.47</v>
      </c>
      <c r="E53" s="683">
        <f>1.25*19.46</f>
        <v>24.325000000000003</v>
      </c>
      <c r="F53" s="678">
        <f t="shared" si="1"/>
        <v>35.75775</v>
      </c>
      <c r="G53" s="684" t="s">
        <v>1149</v>
      </c>
    </row>
    <row r="54" spans="1:7" ht="12.75">
      <c r="A54" s="679" t="s">
        <v>1553</v>
      </c>
      <c r="B54" s="680" t="s">
        <v>349</v>
      </c>
      <c r="C54" s="681" t="s">
        <v>34</v>
      </c>
      <c r="D54" s="685">
        <f>1.5*2.07</f>
        <v>3.1049999999999995</v>
      </c>
      <c r="E54" s="683">
        <f>1.25*13.76</f>
        <v>17.2</v>
      </c>
      <c r="F54" s="678">
        <f t="shared" si="1"/>
        <v>53.40599999999999</v>
      </c>
      <c r="G54" s="684" t="s">
        <v>1142</v>
      </c>
    </row>
    <row r="55" spans="1:7" ht="13.5">
      <c r="A55" s="498"/>
      <c r="B55" s="498"/>
      <c r="C55" s="498"/>
      <c r="D55" s="498"/>
      <c r="E55" s="415" t="s">
        <v>10</v>
      </c>
      <c r="F55" s="366">
        <f>SUM(F49:F54)</f>
        <v>133.736625</v>
      </c>
      <c r="G55" s="677"/>
    </row>
    <row r="56" spans="1:7" ht="25.5">
      <c r="A56" s="360" t="s">
        <v>857</v>
      </c>
      <c r="B56" s="115" t="s">
        <v>673</v>
      </c>
      <c r="C56" s="59" t="s">
        <v>35</v>
      </c>
      <c r="D56" s="60" t="s">
        <v>6</v>
      </c>
      <c r="E56" s="61" t="s">
        <v>29</v>
      </c>
      <c r="F56" s="61" t="s">
        <v>8</v>
      </c>
      <c r="G56" s="79" t="s">
        <v>21</v>
      </c>
    </row>
    <row r="57" spans="1:7" ht="12.75">
      <c r="A57" s="426" t="s">
        <v>1483</v>
      </c>
      <c r="B57" s="424" t="s">
        <v>1479</v>
      </c>
      <c r="C57" s="429" t="s">
        <v>397</v>
      </c>
      <c r="D57" s="334">
        <v>0.0003</v>
      </c>
      <c r="E57" s="66">
        <f>1.25*38.44</f>
        <v>48.05</v>
      </c>
      <c r="F57" s="66">
        <f>D57*E57</f>
        <v>0.014414999999999997</v>
      </c>
      <c r="G57" s="459" t="s">
        <v>1510</v>
      </c>
    </row>
    <row r="58" spans="1:7" ht="12.75">
      <c r="A58" s="426" t="s">
        <v>1484</v>
      </c>
      <c r="B58" s="424" t="s">
        <v>1524</v>
      </c>
      <c r="C58" s="429" t="s">
        <v>44</v>
      </c>
      <c r="D58" s="334">
        <v>1.6</v>
      </c>
      <c r="E58" s="66">
        <f>1.25*2.31</f>
        <v>2.8875</v>
      </c>
      <c r="F58" s="66">
        <f>D58*E58</f>
        <v>4.62</v>
      </c>
      <c r="G58" s="459" t="s">
        <v>1513</v>
      </c>
    </row>
    <row r="59" spans="1:7" ht="12.75">
      <c r="A59" s="426" t="s">
        <v>1485</v>
      </c>
      <c r="B59" s="424" t="s">
        <v>1480</v>
      </c>
      <c r="C59" s="429" t="s">
        <v>41</v>
      </c>
      <c r="D59" s="334">
        <v>0.000528</v>
      </c>
      <c r="E59" s="66">
        <f>1.25*21.57</f>
        <v>26.9625</v>
      </c>
      <c r="F59" s="66">
        <f>D59*E59</f>
        <v>0.014236200000000001</v>
      </c>
      <c r="G59" s="459" t="s">
        <v>1511</v>
      </c>
    </row>
    <row r="60" spans="1:7" ht="12.75">
      <c r="A60" s="426" t="s">
        <v>1486</v>
      </c>
      <c r="B60" s="165" t="s">
        <v>1482</v>
      </c>
      <c r="C60" s="429" t="s">
        <v>34</v>
      </c>
      <c r="D60" s="334">
        <v>0.35</v>
      </c>
      <c r="E60" s="432">
        <f>1.25*14.65</f>
        <v>18.3125</v>
      </c>
      <c r="F60" s="66">
        <f>D60*E60</f>
        <v>6.409375</v>
      </c>
      <c r="G60" s="70" t="s">
        <v>1292</v>
      </c>
    </row>
    <row r="61" spans="1:7" ht="12.75">
      <c r="A61" s="426" t="s">
        <v>1487</v>
      </c>
      <c r="B61" s="165" t="s">
        <v>373</v>
      </c>
      <c r="C61" s="429" t="s">
        <v>34</v>
      </c>
      <c r="D61" s="334">
        <v>0.35</v>
      </c>
      <c r="E61" s="66">
        <f>1.25*19.43</f>
        <v>24.2875</v>
      </c>
      <c r="F61" s="66">
        <f>D61*E61</f>
        <v>8.500625</v>
      </c>
      <c r="G61" s="459" t="s">
        <v>1291</v>
      </c>
    </row>
    <row r="62" spans="1:7" ht="12.75">
      <c r="A62" s="674"/>
      <c r="B62" s="663"/>
      <c r="D62" s="669"/>
      <c r="E62" s="415" t="s">
        <v>10</v>
      </c>
      <c r="F62" s="366">
        <f>SUM(F57:F61)</f>
        <v>19.5586512</v>
      </c>
      <c r="G62" s="670"/>
    </row>
    <row r="63" spans="1:7" ht="25.5">
      <c r="A63" s="360" t="s">
        <v>858</v>
      </c>
      <c r="B63" s="115" t="s">
        <v>674</v>
      </c>
      <c r="C63" s="59" t="s">
        <v>35</v>
      </c>
      <c r="D63" s="60" t="s">
        <v>6</v>
      </c>
      <c r="E63" s="61" t="s">
        <v>29</v>
      </c>
      <c r="F63" s="61" t="s">
        <v>8</v>
      </c>
      <c r="G63" s="79" t="s">
        <v>21</v>
      </c>
    </row>
    <row r="64" spans="1:7" ht="12.75">
      <c r="A64" s="426" t="s">
        <v>1488</v>
      </c>
      <c r="B64" s="424" t="s">
        <v>1479</v>
      </c>
      <c r="C64" s="429" t="s">
        <v>397</v>
      </c>
      <c r="D64" s="334">
        <v>0.0005</v>
      </c>
      <c r="E64" s="66">
        <f>1.25*38.44</f>
        <v>48.05</v>
      </c>
      <c r="F64" s="66">
        <f>D64*E64</f>
        <v>0.024024999999999998</v>
      </c>
      <c r="G64" s="459" t="s">
        <v>1510</v>
      </c>
    </row>
    <row r="65" spans="1:7" ht="12.75">
      <c r="A65" s="426" t="s">
        <v>1489</v>
      </c>
      <c r="B65" s="424" t="s">
        <v>1523</v>
      </c>
      <c r="C65" s="429" t="s">
        <v>44</v>
      </c>
      <c r="D65" s="334">
        <v>1.5</v>
      </c>
      <c r="E65" s="66">
        <f>1.25*7.23</f>
        <v>9.037500000000001</v>
      </c>
      <c r="F65" s="66">
        <f>D65*E65</f>
        <v>13.556250000000002</v>
      </c>
      <c r="G65" s="459" t="s">
        <v>1514</v>
      </c>
    </row>
    <row r="66" spans="1:7" ht="12.75">
      <c r="A66" s="426" t="s">
        <v>1490</v>
      </c>
      <c r="B66" s="424" t="s">
        <v>1480</v>
      </c>
      <c r="C66" s="429" t="s">
        <v>41</v>
      </c>
      <c r="D66" s="334">
        <v>0.001056</v>
      </c>
      <c r="E66" s="66">
        <f>1.25*21.57</f>
        <v>26.9625</v>
      </c>
      <c r="F66" s="66">
        <f>D66*E66</f>
        <v>0.028472400000000002</v>
      </c>
      <c r="G66" s="459" t="s">
        <v>1511</v>
      </c>
    </row>
    <row r="67" spans="1:7" ht="12.75">
      <c r="A67" s="426" t="s">
        <v>1491</v>
      </c>
      <c r="B67" s="165" t="s">
        <v>1482</v>
      </c>
      <c r="C67" s="429" t="s">
        <v>34</v>
      </c>
      <c r="D67" s="334">
        <v>0.5</v>
      </c>
      <c r="E67" s="432">
        <f>1.25*14.65</f>
        <v>18.3125</v>
      </c>
      <c r="F67" s="66">
        <f>D67*E67</f>
        <v>9.15625</v>
      </c>
      <c r="G67" s="70" t="s">
        <v>1292</v>
      </c>
    </row>
    <row r="68" spans="1:7" ht="12.75">
      <c r="A68" s="426" t="s">
        <v>1492</v>
      </c>
      <c r="B68" s="165" t="s">
        <v>373</v>
      </c>
      <c r="C68" s="429" t="s">
        <v>34</v>
      </c>
      <c r="D68" s="334">
        <v>0.5</v>
      </c>
      <c r="E68" s="66">
        <f>1.25*19.43</f>
        <v>24.2875</v>
      </c>
      <c r="F68" s="66">
        <f>D68*E68</f>
        <v>12.14375</v>
      </c>
      <c r="G68" s="459" t="s">
        <v>1291</v>
      </c>
    </row>
    <row r="69" spans="1:7" ht="12.75">
      <c r="A69" s="674"/>
      <c r="B69" s="663"/>
      <c r="D69" s="669"/>
      <c r="E69" s="415" t="s">
        <v>10</v>
      </c>
      <c r="F69" s="66">
        <f>SUM(F64:F68)</f>
        <v>34.9087474</v>
      </c>
      <c r="G69" s="670"/>
    </row>
    <row r="70" spans="1:7" ht="25.5">
      <c r="A70" s="360" t="s">
        <v>859</v>
      </c>
      <c r="B70" s="673" t="s">
        <v>675</v>
      </c>
      <c r="C70" s="59" t="s">
        <v>35</v>
      </c>
      <c r="D70" s="60" t="s">
        <v>6</v>
      </c>
      <c r="E70" s="61" t="s">
        <v>29</v>
      </c>
      <c r="F70" s="61" t="s">
        <v>8</v>
      </c>
      <c r="G70" s="79" t="s">
        <v>21</v>
      </c>
    </row>
    <row r="71" spans="1:7" ht="12.75">
      <c r="A71" s="426" t="s">
        <v>1493</v>
      </c>
      <c r="B71" s="424" t="s">
        <v>1479</v>
      </c>
      <c r="C71" s="429" t="s">
        <v>397</v>
      </c>
      <c r="D71" s="334">
        <v>0.0007</v>
      </c>
      <c r="E71" s="66">
        <f>1.25*38.44</f>
        <v>48.05</v>
      </c>
      <c r="F71" s="366">
        <f>D71*E71</f>
        <v>0.033635</v>
      </c>
      <c r="G71" s="459" t="s">
        <v>1510</v>
      </c>
    </row>
    <row r="72" spans="1:7" ht="12.75">
      <c r="A72" s="426" t="s">
        <v>1494</v>
      </c>
      <c r="B72" s="424" t="s">
        <v>1522</v>
      </c>
      <c r="C72" s="429" t="s">
        <v>44</v>
      </c>
      <c r="D72" s="334">
        <v>1.4</v>
      </c>
      <c r="E72" s="66">
        <f>1.25*8.96</f>
        <v>11.200000000000001</v>
      </c>
      <c r="F72" s="366">
        <f>D72*E72</f>
        <v>15.68</v>
      </c>
      <c r="G72" s="459" t="s">
        <v>1515</v>
      </c>
    </row>
    <row r="73" spans="1:7" ht="12.75">
      <c r="A73" s="426" t="s">
        <v>1495</v>
      </c>
      <c r="B73" s="424" t="s">
        <v>1480</v>
      </c>
      <c r="C73" s="429" t="s">
        <v>41</v>
      </c>
      <c r="D73" s="334">
        <v>0.0017</v>
      </c>
      <c r="E73" s="66">
        <f>1.25*21.57</f>
        <v>26.9625</v>
      </c>
      <c r="F73" s="366">
        <f>D73*E73</f>
        <v>0.045836249999999995</v>
      </c>
      <c r="G73" s="459" t="s">
        <v>1511</v>
      </c>
    </row>
    <row r="74" spans="1:7" ht="12.75">
      <c r="A74" s="426" t="s">
        <v>1496</v>
      </c>
      <c r="B74" s="165" t="s">
        <v>1482</v>
      </c>
      <c r="C74" s="429" t="s">
        <v>34</v>
      </c>
      <c r="D74" s="334">
        <v>0.6</v>
      </c>
      <c r="E74" s="432">
        <f>1.25*14.65</f>
        <v>18.3125</v>
      </c>
      <c r="F74" s="366">
        <f>D74*E74</f>
        <v>10.987499999999999</v>
      </c>
      <c r="G74" s="70" t="s">
        <v>1292</v>
      </c>
    </row>
    <row r="75" spans="1:7" ht="12.75">
      <c r="A75" s="426" t="s">
        <v>1497</v>
      </c>
      <c r="B75" s="165" t="s">
        <v>373</v>
      </c>
      <c r="C75" s="429" t="s">
        <v>34</v>
      </c>
      <c r="D75" s="334">
        <v>0.6</v>
      </c>
      <c r="E75" s="66">
        <f>1.25*19.43</f>
        <v>24.2875</v>
      </c>
      <c r="F75" s="366">
        <f>D75*E75</f>
        <v>14.5725</v>
      </c>
      <c r="G75" s="459" t="s">
        <v>1291</v>
      </c>
    </row>
    <row r="76" spans="1:7" ht="12.75">
      <c r="A76" s="674"/>
      <c r="B76" s="663"/>
      <c r="D76" s="669"/>
      <c r="E76" s="415" t="s">
        <v>10</v>
      </c>
      <c r="F76" s="366">
        <f>SUM(F71:F75)</f>
        <v>41.31947125</v>
      </c>
      <c r="G76" s="670"/>
    </row>
    <row r="77" spans="1:7" ht="25.5">
      <c r="A77" s="360" t="s">
        <v>860</v>
      </c>
      <c r="B77" s="673" t="s">
        <v>676</v>
      </c>
      <c r="C77" s="59" t="s">
        <v>35</v>
      </c>
      <c r="D77" s="60" t="s">
        <v>6</v>
      </c>
      <c r="E77" s="61" t="s">
        <v>29</v>
      </c>
      <c r="F77" s="61" t="s">
        <v>8</v>
      </c>
      <c r="G77" s="79" t="s">
        <v>21</v>
      </c>
    </row>
    <row r="78" spans="1:7" ht="12.75">
      <c r="A78" s="426" t="s">
        <v>1498</v>
      </c>
      <c r="B78" s="424" t="s">
        <v>1481</v>
      </c>
      <c r="C78" s="429" t="s">
        <v>397</v>
      </c>
      <c r="D78" s="334">
        <v>0.01</v>
      </c>
      <c r="E78" s="66">
        <f>1.25*16.2</f>
        <v>20.25</v>
      </c>
      <c r="F78" s="366">
        <f>D78*E78</f>
        <v>0.2025</v>
      </c>
      <c r="G78" s="459" t="s">
        <v>1512</v>
      </c>
    </row>
    <row r="79" spans="1:7" ht="12.75">
      <c r="A79" s="426" t="s">
        <v>1499</v>
      </c>
      <c r="B79" s="424" t="s">
        <v>1521</v>
      </c>
      <c r="C79" s="429" t="s">
        <v>44</v>
      </c>
      <c r="D79" s="334">
        <v>1.5</v>
      </c>
      <c r="E79" s="66">
        <f>1.25*9.09</f>
        <v>11.3625</v>
      </c>
      <c r="F79" s="366">
        <f>D79*E79</f>
        <v>17.043750000000003</v>
      </c>
      <c r="G79" s="459" t="s">
        <v>1517</v>
      </c>
    </row>
    <row r="80" spans="1:7" ht="12.75">
      <c r="A80" s="426" t="s">
        <v>1500</v>
      </c>
      <c r="B80" s="165" t="s">
        <v>349</v>
      </c>
      <c r="C80" s="429" t="s">
        <v>34</v>
      </c>
      <c r="D80" s="334">
        <v>0.9</v>
      </c>
      <c r="E80" s="66">
        <f>1.25*13.77</f>
        <v>17.2125</v>
      </c>
      <c r="F80" s="366">
        <f>D80*E80</f>
        <v>15.491249999999999</v>
      </c>
      <c r="G80" s="459" t="s">
        <v>1142</v>
      </c>
    </row>
    <row r="81" spans="1:7" ht="12.75">
      <c r="A81" s="426" t="s">
        <v>1501</v>
      </c>
      <c r="B81" s="165" t="s">
        <v>373</v>
      </c>
      <c r="C81" s="429" t="s">
        <v>34</v>
      </c>
      <c r="D81" s="334">
        <v>0.9</v>
      </c>
      <c r="E81" s="66">
        <f>1.25*19.43</f>
        <v>24.2875</v>
      </c>
      <c r="F81" s="366">
        <f>D81*E81</f>
        <v>21.85875</v>
      </c>
      <c r="G81" s="459" t="s">
        <v>1291</v>
      </c>
    </row>
    <row r="82" spans="1:7" ht="12.75">
      <c r="A82" s="674"/>
      <c r="B82" s="663"/>
      <c r="D82" s="669"/>
      <c r="E82" s="415" t="s">
        <v>10</v>
      </c>
      <c r="F82" s="366">
        <f>SUM(F78:F81)</f>
        <v>54.596250000000005</v>
      </c>
      <c r="G82" s="670"/>
    </row>
    <row r="83" spans="1:7" ht="25.5">
      <c r="A83" s="360" t="s">
        <v>861</v>
      </c>
      <c r="B83" s="673" t="s">
        <v>677</v>
      </c>
      <c r="C83" s="59" t="s">
        <v>35</v>
      </c>
      <c r="D83" s="60" t="s">
        <v>6</v>
      </c>
      <c r="E83" s="61" t="s">
        <v>29</v>
      </c>
      <c r="F83" s="61" t="s">
        <v>8</v>
      </c>
      <c r="G83" s="79" t="s">
        <v>21</v>
      </c>
    </row>
    <row r="84" spans="1:7" ht="12.75">
      <c r="A84" s="426" t="s">
        <v>1502</v>
      </c>
      <c r="B84" s="165" t="s">
        <v>1481</v>
      </c>
      <c r="C84" s="429" t="s">
        <v>397</v>
      </c>
      <c r="D84" s="334">
        <v>0.01</v>
      </c>
      <c r="E84" s="66">
        <f>1.25*16.2</f>
        <v>20.25</v>
      </c>
      <c r="F84" s="366">
        <f>D84*E84</f>
        <v>0.2025</v>
      </c>
      <c r="G84" s="459" t="s">
        <v>1512</v>
      </c>
    </row>
    <row r="85" spans="1:7" ht="12.75">
      <c r="A85" s="426" t="s">
        <v>1503</v>
      </c>
      <c r="B85" s="424" t="s">
        <v>1520</v>
      </c>
      <c r="C85" s="429" t="s">
        <v>44</v>
      </c>
      <c r="D85" s="334">
        <v>1.5</v>
      </c>
      <c r="E85" s="66">
        <f>1.25*14.97</f>
        <v>18.712500000000002</v>
      </c>
      <c r="F85" s="366">
        <f>D85*E85</f>
        <v>28.06875</v>
      </c>
      <c r="G85" s="459" t="s">
        <v>1516</v>
      </c>
    </row>
    <row r="86" spans="1:7" ht="12.75">
      <c r="A86" s="426" t="s">
        <v>1504</v>
      </c>
      <c r="B86" s="165" t="s">
        <v>349</v>
      </c>
      <c r="C86" s="429" t="s">
        <v>34</v>
      </c>
      <c r="D86" s="334">
        <v>1</v>
      </c>
      <c r="E86" s="66">
        <f>1.25*13.77</f>
        <v>17.2125</v>
      </c>
      <c r="F86" s="366">
        <f>D86*E86</f>
        <v>17.2125</v>
      </c>
      <c r="G86" s="459" t="s">
        <v>1142</v>
      </c>
    </row>
    <row r="87" spans="1:7" ht="12.75">
      <c r="A87" s="426" t="s">
        <v>1505</v>
      </c>
      <c r="B87" s="165" t="s">
        <v>373</v>
      </c>
      <c r="C87" s="429" t="s">
        <v>34</v>
      </c>
      <c r="D87" s="334">
        <v>1</v>
      </c>
      <c r="E87" s="66">
        <f>1.25*19.43</f>
        <v>24.2875</v>
      </c>
      <c r="F87" s="366">
        <f>D87*E87</f>
        <v>24.2875</v>
      </c>
      <c r="G87" s="459" t="s">
        <v>1291</v>
      </c>
    </row>
    <row r="88" spans="1:7" ht="12.75">
      <c r="A88" s="674"/>
      <c r="B88" s="663"/>
      <c r="C88" s="429"/>
      <c r="D88" s="669"/>
      <c r="E88" s="415" t="s">
        <v>10</v>
      </c>
      <c r="F88" s="366">
        <f>SUM(F84:F87)</f>
        <v>69.77125000000001</v>
      </c>
      <c r="G88" s="670"/>
    </row>
    <row r="89" spans="1:7" ht="25.5">
      <c r="A89" s="360" t="s">
        <v>862</v>
      </c>
      <c r="B89" s="673" t="s">
        <v>678</v>
      </c>
      <c r="C89" s="59" t="s">
        <v>35</v>
      </c>
      <c r="D89" s="60" t="s">
        <v>6</v>
      </c>
      <c r="E89" s="61" t="s">
        <v>29</v>
      </c>
      <c r="F89" s="61" t="s">
        <v>8</v>
      </c>
      <c r="G89" s="79" t="s">
        <v>21</v>
      </c>
    </row>
    <row r="90" spans="1:7" ht="12.75">
      <c r="A90" s="426" t="s">
        <v>1506</v>
      </c>
      <c r="B90" s="424" t="s">
        <v>1481</v>
      </c>
      <c r="C90" s="429" t="s">
        <v>397</v>
      </c>
      <c r="D90" s="334">
        <v>0.01</v>
      </c>
      <c r="E90" s="66">
        <f>1.25*16.2</f>
        <v>20.25</v>
      </c>
      <c r="F90" s="366">
        <f>D90*E90</f>
        <v>0.2025</v>
      </c>
      <c r="G90" s="459" t="s">
        <v>1512</v>
      </c>
    </row>
    <row r="91" spans="1:7" ht="12.75">
      <c r="A91" s="426" t="s">
        <v>1507</v>
      </c>
      <c r="B91" s="424" t="s">
        <v>1519</v>
      </c>
      <c r="C91" s="429" t="s">
        <v>44</v>
      </c>
      <c r="D91" s="334">
        <v>1.2</v>
      </c>
      <c r="E91" s="66">
        <f>1.25*31.14</f>
        <v>38.925</v>
      </c>
      <c r="F91" s="366">
        <f>D91*E91</f>
        <v>46.709999999999994</v>
      </c>
      <c r="G91" s="459" t="s">
        <v>1518</v>
      </c>
    </row>
    <row r="92" spans="1:7" ht="12.75">
      <c r="A92" s="426" t="s">
        <v>1508</v>
      </c>
      <c r="B92" s="165" t="s">
        <v>349</v>
      </c>
      <c r="C92" s="429" t="s">
        <v>34</v>
      </c>
      <c r="D92" s="334">
        <v>1.5</v>
      </c>
      <c r="E92" s="66">
        <f>1.25*13.77</f>
        <v>17.2125</v>
      </c>
      <c r="F92" s="366">
        <f>D92*E92</f>
        <v>25.818749999999998</v>
      </c>
      <c r="G92" s="459" t="s">
        <v>1142</v>
      </c>
    </row>
    <row r="93" spans="1:7" ht="12.75">
      <c r="A93" s="426" t="s">
        <v>1509</v>
      </c>
      <c r="B93" s="165" t="s">
        <v>373</v>
      </c>
      <c r="C93" s="429" t="s">
        <v>34</v>
      </c>
      <c r="D93" s="334">
        <v>1.5</v>
      </c>
      <c r="E93" s="66">
        <f>1.25*19.43</f>
        <v>24.2875</v>
      </c>
      <c r="F93" s="366">
        <f>D93*E93</f>
        <v>36.431250000000006</v>
      </c>
      <c r="G93" s="459" t="s">
        <v>1291</v>
      </c>
    </row>
    <row r="94" spans="1:7" ht="12.75">
      <c r="A94" s="662"/>
      <c r="B94" s="663"/>
      <c r="C94" s="429"/>
      <c r="D94" s="669"/>
      <c r="E94" s="415" t="s">
        <v>10</v>
      </c>
      <c r="F94" s="366">
        <f>SUM(F90:F93)</f>
        <v>109.1625</v>
      </c>
      <c r="G94" s="670"/>
    </row>
    <row r="95" spans="1:7" ht="38.25">
      <c r="A95" s="360" t="s">
        <v>864</v>
      </c>
      <c r="B95" s="421" t="s">
        <v>237</v>
      </c>
      <c r="C95" s="59" t="s">
        <v>5</v>
      </c>
      <c r="D95" s="438" t="s">
        <v>379</v>
      </c>
      <c r="E95" s="61" t="s">
        <v>29</v>
      </c>
      <c r="F95" s="439" t="s">
        <v>8</v>
      </c>
      <c r="G95" s="62" t="s">
        <v>30</v>
      </c>
    </row>
    <row r="96" spans="1:7" ht="12.75">
      <c r="A96" s="412" t="s">
        <v>878</v>
      </c>
      <c r="B96" s="424" t="s">
        <v>375</v>
      </c>
      <c r="C96" s="429" t="s">
        <v>40</v>
      </c>
      <c r="D96" s="441">
        <v>0.0304</v>
      </c>
      <c r="E96" s="444">
        <f>1.25*3.04</f>
        <v>3.8</v>
      </c>
      <c r="F96" s="342">
        <f>D96*E96</f>
        <v>0.11552</v>
      </c>
      <c r="G96" s="445" t="s">
        <v>1290</v>
      </c>
    </row>
    <row r="97" spans="1:7" ht="38.25">
      <c r="A97" s="412" t="s">
        <v>879</v>
      </c>
      <c r="B97" s="424" t="s">
        <v>237</v>
      </c>
      <c r="C97" s="429" t="s">
        <v>40</v>
      </c>
      <c r="D97" s="441">
        <v>1</v>
      </c>
      <c r="E97" s="444">
        <f>1.25*271</f>
        <v>338.75</v>
      </c>
      <c r="F97" s="342">
        <f>D97*E97</f>
        <v>338.75</v>
      </c>
      <c r="G97" s="445" t="s">
        <v>45</v>
      </c>
    </row>
    <row r="98" spans="1:7" ht="12.75">
      <c r="A98" s="412" t="s">
        <v>880</v>
      </c>
      <c r="B98" s="165" t="s">
        <v>373</v>
      </c>
      <c r="C98" s="429" t="s">
        <v>34</v>
      </c>
      <c r="D98" s="441">
        <v>0.1</v>
      </c>
      <c r="E98" s="66">
        <f>1.25*19.43</f>
        <v>24.2875</v>
      </c>
      <c r="F98" s="342">
        <f>D98*E98</f>
        <v>2.4287500000000004</v>
      </c>
      <c r="G98" s="445" t="s">
        <v>1291</v>
      </c>
    </row>
    <row r="99" spans="1:7" ht="12.75">
      <c r="A99" s="412" t="s">
        <v>881</v>
      </c>
      <c r="B99" s="165" t="s">
        <v>349</v>
      </c>
      <c r="C99" s="429" t="s">
        <v>34</v>
      </c>
      <c r="D99" s="441">
        <v>0.03</v>
      </c>
      <c r="E99" s="66">
        <f>1.25*13.77</f>
        <v>17.2125</v>
      </c>
      <c r="F99" s="342">
        <f>D99*E99</f>
        <v>0.5163749999999999</v>
      </c>
      <c r="G99" s="445" t="s">
        <v>1142</v>
      </c>
    </row>
    <row r="100" spans="5:6" ht="15">
      <c r="E100" s="443" t="s">
        <v>10</v>
      </c>
      <c r="F100" s="440">
        <f>SUM(F96:F99)</f>
        <v>341.81064499999997</v>
      </c>
    </row>
    <row r="101" spans="1:7" ht="25.5">
      <c r="A101" s="360" t="s">
        <v>865</v>
      </c>
      <c r="B101" s="421" t="s">
        <v>238</v>
      </c>
      <c r="C101" s="59" t="s">
        <v>5</v>
      </c>
      <c r="D101" s="438" t="s">
        <v>379</v>
      </c>
      <c r="E101" s="61" t="s">
        <v>29</v>
      </c>
      <c r="F101" s="439" t="s">
        <v>8</v>
      </c>
      <c r="G101" s="62" t="s">
        <v>30</v>
      </c>
    </row>
    <row r="102" spans="1:7" ht="12.75">
      <c r="A102" s="412" t="s">
        <v>882</v>
      </c>
      <c r="B102" s="424" t="s">
        <v>375</v>
      </c>
      <c r="C102" s="429" t="s">
        <v>40</v>
      </c>
      <c r="D102" s="441">
        <v>0.0304</v>
      </c>
      <c r="E102" s="444">
        <f>1.25*3.04</f>
        <v>3.8</v>
      </c>
      <c r="F102" s="342">
        <f>D102*E102</f>
        <v>0.11552</v>
      </c>
      <c r="G102" s="445" t="s">
        <v>1290</v>
      </c>
    </row>
    <row r="103" spans="1:7" ht="25.5">
      <c r="A103" s="412" t="s">
        <v>883</v>
      </c>
      <c r="B103" s="424" t="s">
        <v>238</v>
      </c>
      <c r="C103" s="429" t="s">
        <v>40</v>
      </c>
      <c r="D103" s="441">
        <v>1</v>
      </c>
      <c r="E103" s="444">
        <f>1.25*236.74</f>
        <v>295.925</v>
      </c>
      <c r="F103" s="342">
        <f>D103*E103</f>
        <v>295.925</v>
      </c>
      <c r="G103" s="445" t="s">
        <v>45</v>
      </c>
    </row>
    <row r="104" spans="1:7" ht="12.75">
      <c r="A104" s="412" t="s">
        <v>884</v>
      </c>
      <c r="B104" s="165" t="s">
        <v>373</v>
      </c>
      <c r="C104" s="429" t="s">
        <v>34</v>
      </c>
      <c r="D104" s="441">
        <v>0.1</v>
      </c>
      <c r="E104" s="66">
        <f>1.25*19.43</f>
        <v>24.2875</v>
      </c>
      <c r="F104" s="342">
        <f>D104*E104</f>
        <v>2.4287500000000004</v>
      </c>
      <c r="G104" s="445" t="s">
        <v>1291</v>
      </c>
    </row>
    <row r="105" spans="1:7" ht="12.75">
      <c r="A105" s="412" t="s">
        <v>885</v>
      </c>
      <c r="B105" s="165" t="s">
        <v>349</v>
      </c>
      <c r="C105" s="429" t="s">
        <v>34</v>
      </c>
      <c r="D105" s="441">
        <v>0.03</v>
      </c>
      <c r="E105" s="66">
        <f>1.25*13.77</f>
        <v>17.2125</v>
      </c>
      <c r="F105" s="342">
        <f>D105*E105</f>
        <v>0.5163749999999999</v>
      </c>
      <c r="G105" s="445" t="s">
        <v>1142</v>
      </c>
    </row>
    <row r="106" spans="5:6" ht="15">
      <c r="E106" s="443" t="s">
        <v>10</v>
      </c>
      <c r="F106" s="440">
        <f>SUM(F102:F105)</f>
        <v>298.985645</v>
      </c>
    </row>
    <row r="107" spans="1:7" ht="38.25">
      <c r="A107" s="360" t="s">
        <v>866</v>
      </c>
      <c r="B107" s="421" t="s">
        <v>239</v>
      </c>
      <c r="C107" s="59" t="s">
        <v>5</v>
      </c>
      <c r="D107" s="438" t="s">
        <v>379</v>
      </c>
      <c r="E107" s="61" t="s">
        <v>29</v>
      </c>
      <c r="F107" s="439" t="s">
        <v>8</v>
      </c>
      <c r="G107" s="62" t="s">
        <v>30</v>
      </c>
    </row>
    <row r="108" spans="1:7" ht="38.25">
      <c r="A108" s="412" t="s">
        <v>886</v>
      </c>
      <c r="B108" s="424" t="s">
        <v>386</v>
      </c>
      <c r="C108" s="429" t="s">
        <v>40</v>
      </c>
      <c r="D108" s="447">
        <v>1</v>
      </c>
      <c r="E108" s="444">
        <f>1.25*173.02</f>
        <v>216.275</v>
      </c>
      <c r="F108" s="449">
        <f>D108*E108</f>
        <v>216.275</v>
      </c>
      <c r="G108" s="448" t="s">
        <v>45</v>
      </c>
    </row>
    <row r="109" spans="1:7" ht="12.75">
      <c r="A109" s="412" t="s">
        <v>887</v>
      </c>
      <c r="B109" s="424" t="s">
        <v>679</v>
      </c>
      <c r="C109" s="429" t="s">
        <v>40</v>
      </c>
      <c r="D109" s="447">
        <v>1</v>
      </c>
      <c r="E109" s="444">
        <f>1.25*217.34</f>
        <v>271.675</v>
      </c>
      <c r="F109" s="449">
        <f>D109*E109</f>
        <v>271.675</v>
      </c>
      <c r="G109" s="448" t="s">
        <v>45</v>
      </c>
    </row>
    <row r="110" spans="1:7" ht="12.75">
      <c r="A110" s="412" t="s">
        <v>888</v>
      </c>
      <c r="B110" s="424" t="s">
        <v>384</v>
      </c>
      <c r="C110" s="429" t="s">
        <v>41</v>
      </c>
      <c r="D110" s="447">
        <v>0.2974</v>
      </c>
      <c r="E110" s="444">
        <f>1.25*30.01</f>
        <v>37.5125</v>
      </c>
      <c r="F110" s="449">
        <f>D110*E110</f>
        <v>11.1562175</v>
      </c>
      <c r="G110" s="448" t="s">
        <v>1297</v>
      </c>
    </row>
    <row r="111" spans="1:7" ht="12.75">
      <c r="A111" s="412" t="s">
        <v>889</v>
      </c>
      <c r="B111" s="424" t="s">
        <v>385</v>
      </c>
      <c r="C111" s="429" t="s">
        <v>34</v>
      </c>
      <c r="D111" s="447">
        <v>0.48</v>
      </c>
      <c r="E111" s="444">
        <f>1.25*19.73</f>
        <v>24.6625</v>
      </c>
      <c r="F111" s="449">
        <f>D111*E111</f>
        <v>11.838000000000001</v>
      </c>
      <c r="G111" s="448" t="s">
        <v>1191</v>
      </c>
    </row>
    <row r="112" spans="1:7" ht="12.75">
      <c r="A112" s="412" t="s">
        <v>890</v>
      </c>
      <c r="B112" s="424" t="s">
        <v>349</v>
      </c>
      <c r="C112" s="429" t="s">
        <v>34</v>
      </c>
      <c r="D112" s="447">
        <v>0.15</v>
      </c>
      <c r="E112" s="66">
        <f>1.25*13.77</f>
        <v>17.2125</v>
      </c>
      <c r="F112" s="449">
        <f>D112*E112</f>
        <v>2.5818749999999997</v>
      </c>
      <c r="G112" s="448" t="s">
        <v>1142</v>
      </c>
    </row>
    <row r="113" spans="5:6" ht="15">
      <c r="E113" s="443" t="s">
        <v>10</v>
      </c>
      <c r="F113" s="449">
        <f>SUM(F108:F112)</f>
        <v>513.5260925000001</v>
      </c>
    </row>
  </sheetData>
  <sheetProtection password="E5F2" sheet="1" objects="1" scenarios="1" selectLockedCells="1" selectUnlockedCells="1"/>
  <mergeCells count="8">
    <mergeCell ref="C8:F8"/>
    <mergeCell ref="A28:F2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selection activeCell="F10" sqref="F10"/>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7" s="5" customFormat="1" ht="30" customHeight="1" thickBot="1">
      <c r="A7" s="16" t="s">
        <v>1</v>
      </c>
      <c r="B7" s="17" t="s">
        <v>4</v>
      </c>
      <c r="C7" s="18" t="s">
        <v>35</v>
      </c>
      <c r="D7" s="26" t="s">
        <v>6</v>
      </c>
      <c r="E7" s="27" t="s">
        <v>7</v>
      </c>
      <c r="F7" s="28" t="s">
        <v>8</v>
      </c>
      <c r="G7" s="89"/>
    </row>
    <row r="8" spans="1:7" ht="30" customHeight="1" thickBot="1">
      <c r="A8" s="80">
        <v>15</v>
      </c>
      <c r="B8" s="80" t="str">
        <f>GERAL!B21</f>
        <v>INSTALAÇÕES DE COMBATE A INCÊNDIO</v>
      </c>
      <c r="C8" s="771">
        <f>SUM(C9,C18,C24,C27,C31,C36,C40)</f>
        <v>52711.258499999996</v>
      </c>
      <c r="D8" s="772"/>
      <c r="E8" s="772"/>
      <c r="F8" s="773"/>
      <c r="G8" s="493" t="s">
        <v>21</v>
      </c>
    </row>
    <row r="9" spans="1:7" ht="19.5" customHeight="1" thickBot="1">
      <c r="A9" s="218" t="s">
        <v>331</v>
      </c>
      <c r="B9" s="263" t="s">
        <v>256</v>
      </c>
      <c r="C9" s="788">
        <f>SUM(F10:F17)</f>
        <v>12672.001</v>
      </c>
      <c r="D9" s="789"/>
      <c r="E9" s="789"/>
      <c r="F9" s="790"/>
      <c r="G9" s="262"/>
    </row>
    <row r="10" spans="1:7" ht="12.75">
      <c r="A10" s="471" t="s">
        <v>521</v>
      </c>
      <c r="B10" s="433" t="s">
        <v>1298</v>
      </c>
      <c r="C10" s="139" t="s">
        <v>11</v>
      </c>
      <c r="D10" s="249">
        <v>4</v>
      </c>
      <c r="E10" s="151">
        <f>F50</f>
        <v>1275.8315</v>
      </c>
      <c r="F10" s="238">
        <f>D10*E10</f>
        <v>5103.326</v>
      </c>
      <c r="G10" s="235" t="s">
        <v>33</v>
      </c>
    </row>
    <row r="11" spans="1:7" ht="12.75">
      <c r="A11" s="472" t="s">
        <v>522</v>
      </c>
      <c r="B11" s="321" t="s">
        <v>214</v>
      </c>
      <c r="C11" s="140" t="s">
        <v>11</v>
      </c>
      <c r="D11" s="334">
        <v>4</v>
      </c>
      <c r="E11" s="152">
        <f>1.25*154.5</f>
        <v>193.125</v>
      </c>
      <c r="F11" s="210">
        <f aca="true" t="shared" si="0" ref="F11:F17">D11*E11</f>
        <v>772.5</v>
      </c>
      <c r="G11" s="511" t="s">
        <v>1525</v>
      </c>
    </row>
    <row r="12" spans="1:7" ht="12" customHeight="1">
      <c r="A12" s="472" t="s">
        <v>523</v>
      </c>
      <c r="B12" s="371" t="s">
        <v>301</v>
      </c>
      <c r="C12" s="140" t="s">
        <v>11</v>
      </c>
      <c r="D12" s="334">
        <v>4</v>
      </c>
      <c r="E12" s="152">
        <f>1.25*50.5</f>
        <v>63.125</v>
      </c>
      <c r="F12" s="210">
        <f t="shared" si="0"/>
        <v>252.5</v>
      </c>
      <c r="G12" s="511" t="s">
        <v>1300</v>
      </c>
    </row>
    <row r="13" spans="1:7" ht="25.5">
      <c r="A13" s="472" t="s">
        <v>524</v>
      </c>
      <c r="B13" s="371" t="s">
        <v>308</v>
      </c>
      <c r="C13" s="140" t="s">
        <v>11</v>
      </c>
      <c r="D13" s="334">
        <v>6</v>
      </c>
      <c r="E13" s="152">
        <f>1.25*87.74</f>
        <v>109.675</v>
      </c>
      <c r="F13" s="210">
        <f t="shared" si="0"/>
        <v>658.05</v>
      </c>
      <c r="G13" s="511" t="s">
        <v>1301</v>
      </c>
    </row>
    <row r="14" spans="1:7" ht="45" customHeight="1">
      <c r="A14" s="472" t="s">
        <v>525</v>
      </c>
      <c r="B14" s="371" t="s">
        <v>628</v>
      </c>
      <c r="C14" s="140" t="s">
        <v>11</v>
      </c>
      <c r="D14" s="334">
        <v>3</v>
      </c>
      <c r="E14" s="152">
        <f>1.25*301.25</f>
        <v>376.5625</v>
      </c>
      <c r="F14" s="210">
        <f t="shared" si="0"/>
        <v>1129.6875</v>
      </c>
      <c r="G14" s="511" t="s">
        <v>1302</v>
      </c>
    </row>
    <row r="15" spans="1:7" ht="63.75">
      <c r="A15" s="472" t="s">
        <v>526</v>
      </c>
      <c r="B15" s="371" t="s">
        <v>1299</v>
      </c>
      <c r="C15" s="140" t="s">
        <v>11</v>
      </c>
      <c r="D15" s="334">
        <v>1</v>
      </c>
      <c r="E15" s="152">
        <f>1.25*578.55</f>
        <v>723.1875</v>
      </c>
      <c r="F15" s="210">
        <f t="shared" si="0"/>
        <v>723.1875</v>
      </c>
      <c r="G15" s="511" t="s">
        <v>1303</v>
      </c>
    </row>
    <row r="16" spans="1:7" ht="38.25">
      <c r="A16" s="472" t="s">
        <v>527</v>
      </c>
      <c r="B16" s="321" t="s">
        <v>215</v>
      </c>
      <c r="C16" s="140" t="s">
        <v>11</v>
      </c>
      <c r="D16" s="334">
        <v>6</v>
      </c>
      <c r="E16" s="152">
        <f>1.25*407.34</f>
        <v>509.17499999999995</v>
      </c>
      <c r="F16" s="210">
        <f t="shared" si="0"/>
        <v>3055.0499999999997</v>
      </c>
      <c r="G16" s="511" t="s">
        <v>1526</v>
      </c>
    </row>
    <row r="17" spans="1:7" ht="30" customHeight="1" thickBot="1">
      <c r="A17" s="535" t="s">
        <v>528</v>
      </c>
      <c r="B17" s="322" t="s">
        <v>216</v>
      </c>
      <c r="C17" s="138" t="s">
        <v>11</v>
      </c>
      <c r="D17" s="335">
        <v>6</v>
      </c>
      <c r="E17" s="203">
        <f>1.25*130.36</f>
        <v>162.95000000000002</v>
      </c>
      <c r="F17" s="239">
        <f t="shared" si="0"/>
        <v>977.7</v>
      </c>
      <c r="G17" s="620" t="s">
        <v>1527</v>
      </c>
    </row>
    <row r="18" spans="1:7" ht="19.5" customHeight="1" thickBot="1">
      <c r="A18" s="608" t="s">
        <v>332</v>
      </c>
      <c r="B18" s="264" t="s">
        <v>255</v>
      </c>
      <c r="C18" s="794">
        <f>SUM(F19:F23)</f>
        <v>3420.65</v>
      </c>
      <c r="D18" s="780"/>
      <c r="E18" s="780"/>
      <c r="F18" s="781"/>
      <c r="G18" s="230"/>
    </row>
    <row r="19" spans="1:7" ht="19.5" customHeight="1">
      <c r="A19" s="474" t="s">
        <v>892</v>
      </c>
      <c r="B19" s="602" t="s">
        <v>217</v>
      </c>
      <c r="C19" s="139" t="s">
        <v>11</v>
      </c>
      <c r="D19" s="603">
        <v>1</v>
      </c>
      <c r="E19" s="549">
        <f>1.25*1039.36</f>
        <v>1299.1999999999998</v>
      </c>
      <c r="F19" s="238">
        <f>D19*E19</f>
        <v>1299.1999999999998</v>
      </c>
      <c r="G19" s="619" t="s">
        <v>1304</v>
      </c>
    </row>
    <row r="20" spans="1:7" ht="12.75">
      <c r="A20" s="428" t="s">
        <v>893</v>
      </c>
      <c r="B20" s="371" t="s">
        <v>218</v>
      </c>
      <c r="C20" s="140" t="s">
        <v>11</v>
      </c>
      <c r="D20" s="334">
        <v>1</v>
      </c>
      <c r="E20" s="191">
        <f>1.25*426.91</f>
        <v>533.6375</v>
      </c>
      <c r="F20" s="237">
        <f>D20*E20</f>
        <v>533.6375</v>
      </c>
      <c r="G20" s="511" t="s">
        <v>1305</v>
      </c>
    </row>
    <row r="21" spans="1:7" ht="25.5">
      <c r="A21" s="428" t="s">
        <v>894</v>
      </c>
      <c r="B21" s="321" t="s">
        <v>219</v>
      </c>
      <c r="C21" s="140" t="s">
        <v>11</v>
      </c>
      <c r="D21" s="334">
        <v>1</v>
      </c>
      <c r="E21" s="191">
        <f>1.25*60.58</f>
        <v>75.725</v>
      </c>
      <c r="F21" s="237">
        <f>D21*E21</f>
        <v>75.725</v>
      </c>
      <c r="G21" s="511" t="s">
        <v>1306</v>
      </c>
    </row>
    <row r="22" spans="1:7" ht="12.75">
      <c r="A22" s="428" t="s">
        <v>895</v>
      </c>
      <c r="B22" s="323" t="s">
        <v>220</v>
      </c>
      <c r="C22" s="127" t="s">
        <v>11</v>
      </c>
      <c r="D22" s="334">
        <v>1</v>
      </c>
      <c r="E22" s="191">
        <f>1.25*886.55</f>
        <v>1108.1875</v>
      </c>
      <c r="F22" s="237">
        <f>D22*E22</f>
        <v>1108.1875</v>
      </c>
      <c r="G22" s="511" t="s">
        <v>1307</v>
      </c>
    </row>
    <row r="23" spans="1:7" ht="26.25" thickBot="1">
      <c r="A23" s="604" t="s">
        <v>896</v>
      </c>
      <c r="B23" s="322" t="s">
        <v>221</v>
      </c>
      <c r="C23" s="138" t="s">
        <v>11</v>
      </c>
      <c r="D23" s="335">
        <v>1</v>
      </c>
      <c r="E23" s="266">
        <f>1.25*323.12</f>
        <v>403.9</v>
      </c>
      <c r="F23" s="605">
        <f>D23*E23</f>
        <v>403.9</v>
      </c>
      <c r="G23" s="620" t="s">
        <v>1308</v>
      </c>
    </row>
    <row r="24" spans="1:7" ht="19.5" customHeight="1" thickBot="1">
      <c r="A24" s="137" t="s">
        <v>333</v>
      </c>
      <c r="B24" s="168" t="s">
        <v>222</v>
      </c>
      <c r="C24" s="795">
        <f>SUM(F25:F26)</f>
        <v>1792.6525000000001</v>
      </c>
      <c r="D24" s="796"/>
      <c r="E24" s="796"/>
      <c r="F24" s="797"/>
      <c r="G24" s="261"/>
    </row>
    <row r="25" spans="1:7" ht="25.5">
      <c r="A25" s="606" t="s">
        <v>891</v>
      </c>
      <c r="B25" s="371" t="s">
        <v>223</v>
      </c>
      <c r="C25" s="169" t="s">
        <v>11</v>
      </c>
      <c r="D25" s="338">
        <v>1</v>
      </c>
      <c r="E25" s="170">
        <f>F55</f>
        <v>1588.69</v>
      </c>
      <c r="F25" s="265">
        <f>D25*E25</f>
        <v>1588.69</v>
      </c>
      <c r="G25" s="533" t="s">
        <v>33</v>
      </c>
    </row>
    <row r="26" spans="1:7" ht="13.5" thickBot="1">
      <c r="A26" s="607" t="s">
        <v>897</v>
      </c>
      <c r="B26" s="321" t="s">
        <v>224</v>
      </c>
      <c r="C26" s="164" t="s">
        <v>11</v>
      </c>
      <c r="D26" s="248">
        <v>3</v>
      </c>
      <c r="E26" s="171">
        <f>1.25*54.39</f>
        <v>67.9875</v>
      </c>
      <c r="F26" s="265">
        <f>D26*E26</f>
        <v>203.96249999999998</v>
      </c>
      <c r="G26" s="642" t="s">
        <v>1309</v>
      </c>
    </row>
    <row r="27" spans="1:7" ht="19.5" customHeight="1" thickBot="1">
      <c r="A27" s="137" t="s">
        <v>334</v>
      </c>
      <c r="B27" s="168" t="s">
        <v>225</v>
      </c>
      <c r="C27" s="791">
        <f>SUM(F28:F30)</f>
        <v>804.1125</v>
      </c>
      <c r="D27" s="792"/>
      <c r="E27" s="792"/>
      <c r="F27" s="793"/>
      <c r="G27" s="260"/>
    </row>
    <row r="28" spans="1:7" ht="12.75">
      <c r="A28" s="428" t="s">
        <v>898</v>
      </c>
      <c r="B28" s="321" t="s">
        <v>226</v>
      </c>
      <c r="C28" s="161" t="s">
        <v>11</v>
      </c>
      <c r="D28" s="336">
        <v>12</v>
      </c>
      <c r="E28" s="191">
        <f>1.25*25.65</f>
        <v>32.0625</v>
      </c>
      <c r="F28" s="237">
        <f>D28*E28</f>
        <v>384.75</v>
      </c>
      <c r="G28" s="625" t="s">
        <v>1313</v>
      </c>
    </row>
    <row r="29" spans="1:7" ht="12.75">
      <c r="A29" s="428" t="s">
        <v>899</v>
      </c>
      <c r="B29" s="321" t="s">
        <v>227</v>
      </c>
      <c r="C29" s="161" t="s">
        <v>11</v>
      </c>
      <c r="D29" s="336">
        <v>9</v>
      </c>
      <c r="E29" s="191">
        <f>1.25*25.65</f>
        <v>32.0625</v>
      </c>
      <c r="F29" s="237">
        <f>D29*E29</f>
        <v>288.5625</v>
      </c>
      <c r="G29" s="624" t="s">
        <v>1314</v>
      </c>
    </row>
    <row r="30" spans="1:7" ht="13.5" thickBot="1">
      <c r="A30" s="428" t="s">
        <v>900</v>
      </c>
      <c r="B30" s="371" t="s">
        <v>228</v>
      </c>
      <c r="C30" s="172" t="s">
        <v>11</v>
      </c>
      <c r="D30" s="337">
        <v>4</v>
      </c>
      <c r="E30" s="191">
        <f>1.25*26.16</f>
        <v>32.7</v>
      </c>
      <c r="F30" s="237">
        <f>D30*E30</f>
        <v>130.8</v>
      </c>
      <c r="G30" s="620" t="s">
        <v>1315</v>
      </c>
    </row>
    <row r="31" spans="1:7" ht="19.5" customHeight="1" thickBot="1">
      <c r="A31" s="137" t="s">
        <v>335</v>
      </c>
      <c r="B31" s="173" t="s">
        <v>229</v>
      </c>
      <c r="C31" s="791">
        <f>SUM(F32:F35)</f>
        <v>2156.0625</v>
      </c>
      <c r="D31" s="792"/>
      <c r="E31" s="792"/>
      <c r="F31" s="793"/>
      <c r="G31" s="260"/>
    </row>
    <row r="32" spans="1:7" ht="12.75" customHeight="1">
      <c r="A32" s="428" t="s">
        <v>901</v>
      </c>
      <c r="B32" s="167" t="s">
        <v>230</v>
      </c>
      <c r="C32" s="161" t="s">
        <v>11</v>
      </c>
      <c r="D32" s="336">
        <v>3</v>
      </c>
      <c r="E32" s="191">
        <f>1.25*393.51</f>
        <v>491.8875</v>
      </c>
      <c r="F32" s="237">
        <f>D32*E32</f>
        <v>1475.6625</v>
      </c>
      <c r="G32" s="619" t="s">
        <v>1528</v>
      </c>
    </row>
    <row r="33" spans="1:7" ht="12.75" customHeight="1">
      <c r="A33" s="428" t="s">
        <v>902</v>
      </c>
      <c r="B33" s="376" t="s">
        <v>1529</v>
      </c>
      <c r="C33" s="166" t="s">
        <v>11</v>
      </c>
      <c r="D33" s="334">
        <v>2</v>
      </c>
      <c r="E33" s="191">
        <f>1.25*21.65</f>
        <v>27.0625</v>
      </c>
      <c r="F33" s="237">
        <f>D33*E33</f>
        <v>54.125</v>
      </c>
      <c r="G33" s="511" t="s">
        <v>1405</v>
      </c>
    </row>
    <row r="34" spans="1:7" ht="12.75" customHeight="1">
      <c r="A34" s="428" t="s">
        <v>903</v>
      </c>
      <c r="B34" s="165" t="s">
        <v>231</v>
      </c>
      <c r="C34" s="174" t="s">
        <v>11</v>
      </c>
      <c r="D34" s="334">
        <v>1</v>
      </c>
      <c r="E34" s="191">
        <f>1.25*50.96</f>
        <v>63.7</v>
      </c>
      <c r="F34" s="237">
        <f>D34*E34</f>
        <v>63.7</v>
      </c>
      <c r="G34" s="511" t="s">
        <v>1406</v>
      </c>
    </row>
    <row r="35" spans="1:7" ht="12.75" customHeight="1" thickBot="1">
      <c r="A35" s="428" t="s">
        <v>904</v>
      </c>
      <c r="B35" s="430" t="s">
        <v>1530</v>
      </c>
      <c r="C35" s="172" t="s">
        <v>11</v>
      </c>
      <c r="D35" s="337">
        <v>3</v>
      </c>
      <c r="E35" s="191">
        <f>1.25*150.02</f>
        <v>187.525</v>
      </c>
      <c r="F35" s="237">
        <f>D35*E35</f>
        <v>562.575</v>
      </c>
      <c r="G35" s="620" t="s">
        <v>1407</v>
      </c>
    </row>
    <row r="36" spans="1:7" ht="19.5" customHeight="1" thickBot="1">
      <c r="A36" s="137" t="s">
        <v>336</v>
      </c>
      <c r="B36" s="168" t="s">
        <v>232</v>
      </c>
      <c r="C36" s="791">
        <f>SUM(F37:F39)</f>
        <v>31423.5</v>
      </c>
      <c r="D36" s="792"/>
      <c r="E36" s="792"/>
      <c r="F36" s="793"/>
      <c r="G36" s="260"/>
    </row>
    <row r="37" spans="1:7" ht="38.25">
      <c r="A37" s="428" t="s">
        <v>905</v>
      </c>
      <c r="B37" s="423" t="s">
        <v>1566</v>
      </c>
      <c r="C37" s="161" t="s">
        <v>44</v>
      </c>
      <c r="D37" s="336">
        <v>3</v>
      </c>
      <c r="E37" s="191">
        <f>1.25*49.28</f>
        <v>61.6</v>
      </c>
      <c r="F37" s="237">
        <f>D37*E37</f>
        <v>184.8</v>
      </c>
      <c r="G37" s="619" t="s">
        <v>1310</v>
      </c>
    </row>
    <row r="38" spans="1:7" ht="38.25">
      <c r="A38" s="428" t="s">
        <v>906</v>
      </c>
      <c r="B38" s="376" t="s">
        <v>1567</v>
      </c>
      <c r="C38" s="166" t="s">
        <v>44</v>
      </c>
      <c r="D38" s="334">
        <v>3</v>
      </c>
      <c r="E38" s="191">
        <f>1.25*75.92</f>
        <v>94.9</v>
      </c>
      <c r="F38" s="237">
        <f>D38*E38</f>
        <v>284.70000000000005</v>
      </c>
      <c r="G38" s="511" t="s">
        <v>1311</v>
      </c>
    </row>
    <row r="39" spans="1:7" ht="39" thickBot="1">
      <c r="A39" s="428" t="s">
        <v>907</v>
      </c>
      <c r="B39" s="430" t="s">
        <v>1568</v>
      </c>
      <c r="C39" s="172" t="s">
        <v>44</v>
      </c>
      <c r="D39" s="337">
        <v>154</v>
      </c>
      <c r="E39" s="191">
        <f>1.25*160.8</f>
        <v>201</v>
      </c>
      <c r="F39" s="237">
        <f>D39*E39</f>
        <v>30954</v>
      </c>
      <c r="G39" s="620" t="s">
        <v>1312</v>
      </c>
    </row>
    <row r="40" spans="1:7" ht="19.5" customHeight="1" thickBot="1">
      <c r="A40" s="137" t="s">
        <v>337</v>
      </c>
      <c r="B40" s="168" t="s">
        <v>233</v>
      </c>
      <c r="C40" s="791">
        <f>SUM(F41:F41)</f>
        <v>442.28000000000003</v>
      </c>
      <c r="D40" s="792"/>
      <c r="E40" s="792"/>
      <c r="F40" s="793"/>
      <c r="G40" s="260"/>
    </row>
    <row r="41" spans="1:7" ht="13.5" thickBot="1">
      <c r="A41" s="428" t="s">
        <v>554</v>
      </c>
      <c r="B41" s="423" t="s">
        <v>374</v>
      </c>
      <c r="C41" s="161" t="s">
        <v>11</v>
      </c>
      <c r="D41" s="336">
        <v>4</v>
      </c>
      <c r="E41" s="191">
        <f>F60</f>
        <v>110.57000000000001</v>
      </c>
      <c r="F41" s="237">
        <f>D41*E41</f>
        <v>442.28000000000003</v>
      </c>
      <c r="G41" s="232" t="s">
        <v>33</v>
      </c>
    </row>
    <row r="42" spans="1:6" ht="30" customHeight="1" thickBot="1">
      <c r="A42" s="753"/>
      <c r="B42" s="754"/>
      <c r="C42" s="754"/>
      <c r="D42" s="754"/>
      <c r="E42" s="754"/>
      <c r="F42" s="755"/>
    </row>
    <row r="44" spans="1:7" ht="12.75">
      <c r="A44" s="72"/>
      <c r="B44" s="57" t="s">
        <v>28</v>
      </c>
      <c r="C44" s="56"/>
      <c r="D44" s="56"/>
      <c r="E44" s="56"/>
      <c r="F44" s="56"/>
      <c r="G44" s="58"/>
    </row>
    <row r="45" spans="1:7" ht="12.75">
      <c r="A45" s="360" t="s">
        <v>521</v>
      </c>
      <c r="B45" s="115" t="s">
        <v>213</v>
      </c>
      <c r="C45" s="59" t="s">
        <v>35</v>
      </c>
      <c r="D45" s="60" t="s">
        <v>6</v>
      </c>
      <c r="E45" s="61" t="s">
        <v>29</v>
      </c>
      <c r="F45" s="61" t="s">
        <v>8</v>
      </c>
      <c r="G45" s="79" t="s">
        <v>21</v>
      </c>
    </row>
    <row r="46" spans="1:7" ht="12.75">
      <c r="A46" s="73" t="s">
        <v>908</v>
      </c>
      <c r="B46" s="55" t="s">
        <v>378</v>
      </c>
      <c r="C46" s="70" t="s">
        <v>11</v>
      </c>
      <c r="D46" s="345">
        <v>1</v>
      </c>
      <c r="E46" s="152">
        <f>1.25*757.4</f>
        <v>946.75</v>
      </c>
      <c r="F46" s="66">
        <f>D46*E46</f>
        <v>946.75</v>
      </c>
      <c r="G46" s="70" t="s">
        <v>1289</v>
      </c>
    </row>
    <row r="47" spans="1:7" ht="12.75">
      <c r="A47" s="73" t="s">
        <v>909</v>
      </c>
      <c r="B47" s="55" t="s">
        <v>375</v>
      </c>
      <c r="C47" s="70" t="s">
        <v>11</v>
      </c>
      <c r="D47" s="345">
        <v>0.33</v>
      </c>
      <c r="E47" s="152">
        <f>1.25*3.04</f>
        <v>3.8</v>
      </c>
      <c r="F47" s="66">
        <f>D47*E47</f>
        <v>1.254</v>
      </c>
      <c r="G47" s="70" t="s">
        <v>1290</v>
      </c>
    </row>
    <row r="48" spans="1:7" ht="12.75">
      <c r="A48" s="73" t="s">
        <v>910</v>
      </c>
      <c r="B48" s="55" t="s">
        <v>376</v>
      </c>
      <c r="C48" s="70" t="s">
        <v>34</v>
      </c>
      <c r="D48" s="345">
        <v>7.7</v>
      </c>
      <c r="E48" s="152">
        <f>1.25*19.42</f>
        <v>24.275000000000002</v>
      </c>
      <c r="F48" s="66">
        <f>D48*E48</f>
        <v>186.91750000000002</v>
      </c>
      <c r="G48" s="70" t="s">
        <v>1291</v>
      </c>
    </row>
    <row r="49" spans="1:7" ht="12.75">
      <c r="A49" s="73" t="s">
        <v>911</v>
      </c>
      <c r="B49" s="55" t="s">
        <v>377</v>
      </c>
      <c r="C49" s="70" t="s">
        <v>34</v>
      </c>
      <c r="D49" s="345">
        <v>7.7</v>
      </c>
      <c r="E49" s="152">
        <f>1.25*14.64</f>
        <v>18.3</v>
      </c>
      <c r="F49" s="66">
        <f>D49*E49</f>
        <v>140.91</v>
      </c>
      <c r="G49" s="70" t="s">
        <v>1292</v>
      </c>
    </row>
    <row r="50" spans="1:7" ht="12.75">
      <c r="A50" s="73"/>
      <c r="B50" s="55"/>
      <c r="C50" s="70"/>
      <c r="D50" s="345"/>
      <c r="E50" s="65" t="s">
        <v>31</v>
      </c>
      <c r="F50" s="66">
        <f>SUM(F46:F49)</f>
        <v>1275.8315</v>
      </c>
      <c r="G50" s="70"/>
    </row>
    <row r="51" spans="1:7" ht="25.5">
      <c r="A51" s="78" t="s">
        <v>891</v>
      </c>
      <c r="B51" s="421" t="s">
        <v>223</v>
      </c>
      <c r="C51" s="59" t="s">
        <v>35</v>
      </c>
      <c r="D51" s="60" t="s">
        <v>6</v>
      </c>
      <c r="E51" s="61" t="s">
        <v>29</v>
      </c>
      <c r="F51" s="61" t="s">
        <v>8</v>
      </c>
      <c r="G51" s="79" t="s">
        <v>21</v>
      </c>
    </row>
    <row r="52" spans="1:7" ht="25.5">
      <c r="A52" s="426" t="s">
        <v>912</v>
      </c>
      <c r="B52" s="530" t="s">
        <v>223</v>
      </c>
      <c r="C52" s="429" t="s">
        <v>40</v>
      </c>
      <c r="D52" s="425">
        <v>1</v>
      </c>
      <c r="E52" s="427">
        <f>1.25*1211.21</f>
        <v>1514.0125</v>
      </c>
      <c r="F52" s="427">
        <f>D52*E52</f>
        <v>1514.0125</v>
      </c>
      <c r="G52" s="442" t="s">
        <v>45</v>
      </c>
    </row>
    <row r="53" spans="1:7" ht="15" customHeight="1">
      <c r="A53" s="426" t="s">
        <v>913</v>
      </c>
      <c r="B53" s="376" t="s">
        <v>373</v>
      </c>
      <c r="C53" s="422" t="s">
        <v>34</v>
      </c>
      <c r="D53" s="334">
        <v>1.8</v>
      </c>
      <c r="E53" s="152">
        <f>1.25*19.43</f>
        <v>24.2875</v>
      </c>
      <c r="F53" s="152">
        <f>D53*E53</f>
        <v>43.7175</v>
      </c>
      <c r="G53" s="459" t="s">
        <v>1291</v>
      </c>
    </row>
    <row r="54" spans="1:7" ht="15" customHeight="1">
      <c r="A54" s="426" t="s">
        <v>1120</v>
      </c>
      <c r="B54" s="165" t="s">
        <v>349</v>
      </c>
      <c r="C54" s="422" t="s">
        <v>34</v>
      </c>
      <c r="D54" s="334">
        <v>1.8</v>
      </c>
      <c r="E54" s="152">
        <f>1.25*13.76</f>
        <v>17.2</v>
      </c>
      <c r="F54" s="152">
        <f>D54*E54</f>
        <v>30.96</v>
      </c>
      <c r="G54" s="459" t="s">
        <v>1142</v>
      </c>
    </row>
    <row r="55" spans="5:6" ht="15">
      <c r="E55" s="412" t="s">
        <v>10</v>
      </c>
      <c r="F55" s="431">
        <f>SUM(F52:F54)</f>
        <v>1588.69</v>
      </c>
    </row>
    <row r="56" spans="1:7" ht="12.75">
      <c r="A56" s="78" t="s">
        <v>554</v>
      </c>
      <c r="B56" s="421" t="s">
        <v>374</v>
      </c>
      <c r="C56" s="59" t="s">
        <v>35</v>
      </c>
      <c r="D56" s="60" t="s">
        <v>6</v>
      </c>
      <c r="E56" s="61" t="s">
        <v>29</v>
      </c>
      <c r="F56" s="61" t="s">
        <v>8</v>
      </c>
      <c r="G56" s="79" t="s">
        <v>21</v>
      </c>
    </row>
    <row r="57" spans="1:7" ht="12.75">
      <c r="A57" s="426" t="s">
        <v>914</v>
      </c>
      <c r="B57" s="424" t="s">
        <v>234</v>
      </c>
      <c r="C57" s="429" t="s">
        <v>40</v>
      </c>
      <c r="D57" s="425">
        <v>1</v>
      </c>
      <c r="E57" s="427">
        <f>1.25*75.18</f>
        <v>93.97500000000001</v>
      </c>
      <c r="F57" s="152">
        <f>D57*E57</f>
        <v>93.97500000000001</v>
      </c>
      <c r="G57" s="459" t="s">
        <v>1316</v>
      </c>
    </row>
    <row r="58" spans="1:7" ht="12.75">
      <c r="A58" s="426" t="s">
        <v>915</v>
      </c>
      <c r="B58" s="165" t="s">
        <v>373</v>
      </c>
      <c r="C58" s="422" t="s">
        <v>34</v>
      </c>
      <c r="D58" s="334">
        <v>0.4</v>
      </c>
      <c r="E58" s="152">
        <f>1.25*19.43</f>
        <v>24.2875</v>
      </c>
      <c r="F58" s="152">
        <f>D58*E58</f>
        <v>9.715000000000002</v>
      </c>
      <c r="G58" s="459" t="s">
        <v>1291</v>
      </c>
    </row>
    <row r="59" spans="1:7" ht="12.75">
      <c r="A59" s="426" t="s">
        <v>916</v>
      </c>
      <c r="B59" s="165" t="s">
        <v>349</v>
      </c>
      <c r="C59" s="422" t="s">
        <v>34</v>
      </c>
      <c r="D59" s="334">
        <v>0.4</v>
      </c>
      <c r="E59" s="152">
        <f>1.25*13.76</f>
        <v>17.2</v>
      </c>
      <c r="F59" s="152">
        <f>D59*E59</f>
        <v>6.88</v>
      </c>
      <c r="G59" s="459" t="s">
        <v>1142</v>
      </c>
    </row>
    <row r="60" spans="5:6" ht="15">
      <c r="E60" s="412" t="s">
        <v>10</v>
      </c>
      <c r="F60" s="431">
        <f>SUM(F57:F59)</f>
        <v>110.57000000000001</v>
      </c>
    </row>
  </sheetData>
  <sheetProtection password="E5F2" sheet="1" objects="1" scenarios="1" selectLockedCells="1" selectUnlockedCells="1"/>
  <mergeCells count="15">
    <mergeCell ref="A1:F1"/>
    <mergeCell ref="A2:F2"/>
    <mergeCell ref="A3:F3"/>
    <mergeCell ref="A4:F4"/>
    <mergeCell ref="A5:F5"/>
    <mergeCell ref="A6:F6"/>
    <mergeCell ref="C31:F31"/>
    <mergeCell ref="C36:F36"/>
    <mergeCell ref="C40:F40"/>
    <mergeCell ref="C27:F27"/>
    <mergeCell ref="C8:F8"/>
    <mergeCell ref="A42:F42"/>
    <mergeCell ref="C9:F9"/>
    <mergeCell ref="C18:F18"/>
    <mergeCell ref="C24:F24"/>
  </mergeCells>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scale="6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G202"/>
  <sheetViews>
    <sheetView workbookViewId="0" topLeftCell="A1">
      <selection activeCell="E9" sqref="E9"/>
    </sheetView>
  </sheetViews>
  <sheetFormatPr defaultColWidth="9.140625" defaultRowHeight="12.75"/>
  <cols>
    <col min="1" max="1" width="10.7109375" style="75" customWidth="1"/>
    <col min="2" max="2" width="60.7109375" style="6" customWidth="1"/>
    <col min="3" max="3" width="10.7109375" style="7" customWidth="1"/>
    <col min="4" max="4" width="10.7109375" style="268"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7" s="5" customFormat="1" ht="30" customHeight="1" thickBot="1">
      <c r="A7" s="16" t="s">
        <v>1</v>
      </c>
      <c r="B7" s="17" t="s">
        <v>4</v>
      </c>
      <c r="C7" s="18" t="s">
        <v>35</v>
      </c>
      <c r="D7" s="267" t="s">
        <v>6</v>
      </c>
      <c r="E7" s="27" t="s">
        <v>7</v>
      </c>
      <c r="F7" s="28" t="s">
        <v>8</v>
      </c>
      <c r="G7" s="89"/>
    </row>
    <row r="8" spans="1:7" ht="30" customHeight="1" thickBot="1">
      <c r="A8" s="80">
        <v>16</v>
      </c>
      <c r="B8" s="80" t="str">
        <f>GERAL!B22</f>
        <v>CLIMATIZAÇÃO</v>
      </c>
      <c r="C8" s="771">
        <f>SUM(F9:F34)</f>
        <v>95135.15311666668</v>
      </c>
      <c r="D8" s="772"/>
      <c r="E8" s="772"/>
      <c r="F8" s="773"/>
      <c r="G8" s="493" t="s">
        <v>21</v>
      </c>
    </row>
    <row r="9" spans="1:7" ht="51">
      <c r="A9" s="480" t="s">
        <v>917</v>
      </c>
      <c r="B9" s="361" t="s">
        <v>601</v>
      </c>
      <c r="C9" s="175" t="s">
        <v>11</v>
      </c>
      <c r="D9" s="255">
        <v>4</v>
      </c>
      <c r="E9" s="152">
        <f>F41</f>
        <v>8217.175</v>
      </c>
      <c r="F9" s="186">
        <f>D9*E9</f>
        <v>32868.7</v>
      </c>
      <c r="G9" s="233" t="s">
        <v>33</v>
      </c>
    </row>
    <row r="10" spans="1:7" ht="51">
      <c r="A10" s="480" t="s">
        <v>918</v>
      </c>
      <c r="B10" s="361" t="s">
        <v>602</v>
      </c>
      <c r="C10" s="175" t="s">
        <v>11</v>
      </c>
      <c r="D10" s="255">
        <v>4</v>
      </c>
      <c r="E10" s="152">
        <f>F46</f>
        <v>3885.85</v>
      </c>
      <c r="F10" s="186">
        <f>D10*E10</f>
        <v>15543.4</v>
      </c>
      <c r="G10" s="185" t="s">
        <v>33</v>
      </c>
    </row>
    <row r="11" spans="1:7" ht="25.5">
      <c r="A11" s="480" t="s">
        <v>919</v>
      </c>
      <c r="B11" s="361" t="s">
        <v>669</v>
      </c>
      <c r="C11" s="175" t="s">
        <v>11</v>
      </c>
      <c r="D11" s="255">
        <v>2</v>
      </c>
      <c r="E11" s="152">
        <f>F46</f>
        <v>3885.85</v>
      </c>
      <c r="F11" s="186">
        <f>D11*E11</f>
        <v>7771.7</v>
      </c>
      <c r="G11" s="185" t="s">
        <v>33</v>
      </c>
    </row>
    <row r="12" spans="1:7" ht="25.5">
      <c r="A12" s="480" t="s">
        <v>920</v>
      </c>
      <c r="B12" s="361" t="s">
        <v>670</v>
      </c>
      <c r="C12" s="175" t="s">
        <v>11</v>
      </c>
      <c r="D12" s="255">
        <v>1</v>
      </c>
      <c r="E12" s="152">
        <f>F56</f>
        <v>2666.5</v>
      </c>
      <c r="F12" s="186">
        <f aca="true" t="shared" si="0" ref="F12:F34">D12*E12</f>
        <v>2666.5</v>
      </c>
      <c r="G12" s="185" t="s">
        <v>33</v>
      </c>
    </row>
    <row r="13" spans="1:7" ht="12.75">
      <c r="A13" s="480" t="s">
        <v>921</v>
      </c>
      <c r="B13" s="361" t="s">
        <v>259</v>
      </c>
      <c r="C13" s="175" t="s">
        <v>40</v>
      </c>
      <c r="D13" s="255">
        <v>2</v>
      </c>
      <c r="E13" s="152">
        <f>F61</f>
        <v>181.73749999999998</v>
      </c>
      <c r="F13" s="186">
        <f t="shared" si="0"/>
        <v>363.47499999999997</v>
      </c>
      <c r="G13" s="185" t="s">
        <v>33</v>
      </c>
    </row>
    <row r="14" spans="1:7" ht="12.75">
      <c r="A14" s="480" t="s">
        <v>922</v>
      </c>
      <c r="B14" s="361" t="s">
        <v>260</v>
      </c>
      <c r="C14" s="175" t="s">
        <v>40</v>
      </c>
      <c r="D14" s="255">
        <v>1</v>
      </c>
      <c r="E14" s="152">
        <f>F66</f>
        <v>200.775</v>
      </c>
      <c r="F14" s="186">
        <f t="shared" si="0"/>
        <v>200.775</v>
      </c>
      <c r="G14" s="185" t="s">
        <v>33</v>
      </c>
    </row>
    <row r="15" spans="1:7" ht="12.75">
      <c r="A15" s="480" t="s">
        <v>923</v>
      </c>
      <c r="B15" s="361" t="s">
        <v>261</v>
      </c>
      <c r="C15" s="175" t="s">
        <v>40</v>
      </c>
      <c r="D15" s="255">
        <v>3</v>
      </c>
      <c r="E15" s="152">
        <f>F71</f>
        <v>500.7875</v>
      </c>
      <c r="F15" s="186">
        <f t="shared" si="0"/>
        <v>1502.3625000000002</v>
      </c>
      <c r="G15" s="185" t="s">
        <v>33</v>
      </c>
    </row>
    <row r="16" spans="1:7" ht="38.25">
      <c r="A16" s="480" t="s">
        <v>924</v>
      </c>
      <c r="B16" s="361" t="s">
        <v>262</v>
      </c>
      <c r="C16" s="175" t="s">
        <v>11</v>
      </c>
      <c r="D16" s="255">
        <v>1</v>
      </c>
      <c r="E16" s="152">
        <f>F87</f>
        <v>2281.097</v>
      </c>
      <c r="F16" s="186">
        <f t="shared" si="0"/>
        <v>2281.097</v>
      </c>
      <c r="G16" s="185" t="s">
        <v>33</v>
      </c>
    </row>
    <row r="17" spans="1:7" ht="38.25">
      <c r="A17" s="480" t="s">
        <v>925</v>
      </c>
      <c r="B17" s="361" t="s">
        <v>263</v>
      </c>
      <c r="C17" s="175" t="s">
        <v>11</v>
      </c>
      <c r="D17" s="255">
        <v>1</v>
      </c>
      <c r="E17" s="152">
        <f>F103</f>
        <v>1410.9345</v>
      </c>
      <c r="F17" s="186">
        <f t="shared" si="0"/>
        <v>1410.9345</v>
      </c>
      <c r="G17" s="185" t="s">
        <v>33</v>
      </c>
    </row>
    <row r="18" spans="1:7" ht="38.25">
      <c r="A18" s="480" t="s">
        <v>926</v>
      </c>
      <c r="B18" s="361" t="s">
        <v>264</v>
      </c>
      <c r="C18" s="175" t="s">
        <v>11</v>
      </c>
      <c r="D18" s="255">
        <v>3</v>
      </c>
      <c r="E18" s="152">
        <f>F117</f>
        <v>932.517</v>
      </c>
      <c r="F18" s="186">
        <f t="shared" si="0"/>
        <v>2797.5510000000004</v>
      </c>
      <c r="G18" s="185" t="s">
        <v>33</v>
      </c>
    </row>
    <row r="19" spans="1:7" ht="12.75">
      <c r="A19" s="480" t="s">
        <v>927</v>
      </c>
      <c r="B19" s="361" t="s">
        <v>610</v>
      </c>
      <c r="C19" s="175" t="s">
        <v>44</v>
      </c>
      <c r="D19" s="255">
        <v>75</v>
      </c>
      <c r="E19" s="152">
        <f>F123</f>
        <v>40.52689999999999</v>
      </c>
      <c r="F19" s="186">
        <f t="shared" si="0"/>
        <v>3039.5174999999995</v>
      </c>
      <c r="G19" s="185" t="s">
        <v>33</v>
      </c>
    </row>
    <row r="20" spans="1:7" ht="12.75">
      <c r="A20" s="480" t="s">
        <v>928</v>
      </c>
      <c r="B20" s="361" t="s">
        <v>611</v>
      </c>
      <c r="C20" s="175" t="s">
        <v>44</v>
      </c>
      <c r="D20" s="255">
        <v>35</v>
      </c>
      <c r="E20" s="152">
        <f>F129</f>
        <v>40.52689999999999</v>
      </c>
      <c r="F20" s="186">
        <f t="shared" si="0"/>
        <v>1418.4414999999997</v>
      </c>
      <c r="G20" s="185" t="s">
        <v>33</v>
      </c>
    </row>
    <row r="21" spans="1:7" ht="12.75">
      <c r="A21" s="480" t="s">
        <v>929</v>
      </c>
      <c r="B21" s="361" t="s">
        <v>612</v>
      </c>
      <c r="C21" s="175" t="s">
        <v>44</v>
      </c>
      <c r="D21" s="255">
        <v>35</v>
      </c>
      <c r="E21" s="152">
        <f>F135</f>
        <v>34.371525</v>
      </c>
      <c r="F21" s="186">
        <f t="shared" si="0"/>
        <v>1203.003375</v>
      </c>
      <c r="G21" s="185" t="s">
        <v>33</v>
      </c>
    </row>
    <row r="22" spans="1:7" ht="12.75">
      <c r="A22" s="480" t="s">
        <v>930</v>
      </c>
      <c r="B22" s="361" t="s">
        <v>613</v>
      </c>
      <c r="C22" s="175" t="s">
        <v>44</v>
      </c>
      <c r="D22" s="255">
        <v>75</v>
      </c>
      <c r="E22" s="152">
        <f>F141</f>
        <v>22.397150000000003</v>
      </c>
      <c r="F22" s="186">
        <f t="shared" si="0"/>
        <v>1679.7862500000003</v>
      </c>
      <c r="G22" s="185" t="s">
        <v>33</v>
      </c>
    </row>
    <row r="23" spans="1:7" ht="12.75">
      <c r="A23" s="480" t="s">
        <v>931</v>
      </c>
      <c r="B23" s="361" t="s">
        <v>614</v>
      </c>
      <c r="C23" s="175" t="s">
        <v>44</v>
      </c>
      <c r="D23" s="255">
        <v>70</v>
      </c>
      <c r="E23" s="152">
        <f>F147</f>
        <v>16.2984</v>
      </c>
      <c r="F23" s="186">
        <f t="shared" si="0"/>
        <v>1140.8880000000001</v>
      </c>
      <c r="G23" s="185" t="s">
        <v>33</v>
      </c>
    </row>
    <row r="24" spans="1:7" ht="12.75">
      <c r="A24" s="480" t="s">
        <v>932</v>
      </c>
      <c r="B24" s="521" t="s">
        <v>608</v>
      </c>
      <c r="C24" s="400" t="s">
        <v>44</v>
      </c>
      <c r="D24" s="255">
        <v>530</v>
      </c>
      <c r="E24" s="152">
        <f>F153</f>
        <v>13.771179245283019</v>
      </c>
      <c r="F24" s="186">
        <f t="shared" si="0"/>
        <v>7298.725</v>
      </c>
      <c r="G24" s="185" t="s">
        <v>33</v>
      </c>
    </row>
    <row r="25" spans="1:7" ht="12.75">
      <c r="A25" s="480" t="s">
        <v>933</v>
      </c>
      <c r="B25" s="528" t="s">
        <v>265</v>
      </c>
      <c r="C25" s="175" t="s">
        <v>44</v>
      </c>
      <c r="D25" s="255">
        <v>5</v>
      </c>
      <c r="E25" s="152">
        <f>F159</f>
        <v>26.227962500000004</v>
      </c>
      <c r="F25" s="186">
        <f t="shared" si="0"/>
        <v>131.1398125</v>
      </c>
      <c r="G25" s="185" t="s">
        <v>33</v>
      </c>
    </row>
    <row r="26" spans="1:7" ht="12.75">
      <c r="A26" s="480" t="s">
        <v>934</v>
      </c>
      <c r="B26" s="371" t="s">
        <v>266</v>
      </c>
      <c r="C26" s="175" t="s">
        <v>44</v>
      </c>
      <c r="D26" s="255">
        <v>15</v>
      </c>
      <c r="E26" s="152">
        <f>F165</f>
        <v>26.516712500000004</v>
      </c>
      <c r="F26" s="186">
        <f t="shared" si="0"/>
        <v>397.7506875000001</v>
      </c>
      <c r="G26" s="185" t="s">
        <v>33</v>
      </c>
    </row>
    <row r="27" spans="1:7" ht="12.75">
      <c r="A27" s="480" t="s">
        <v>935</v>
      </c>
      <c r="B27" s="321" t="s">
        <v>267</v>
      </c>
      <c r="C27" s="175" t="s">
        <v>44</v>
      </c>
      <c r="D27" s="255">
        <v>5</v>
      </c>
      <c r="E27" s="152">
        <f>F171</f>
        <v>17.510462500000003</v>
      </c>
      <c r="F27" s="186">
        <f t="shared" si="0"/>
        <v>87.55231250000001</v>
      </c>
      <c r="G27" s="185" t="s">
        <v>33</v>
      </c>
    </row>
    <row r="28" spans="1:7" ht="12.75">
      <c r="A28" s="480" t="s">
        <v>936</v>
      </c>
      <c r="B28" s="321" t="s">
        <v>268</v>
      </c>
      <c r="C28" s="175" t="s">
        <v>44</v>
      </c>
      <c r="D28" s="255">
        <v>180</v>
      </c>
      <c r="E28" s="152">
        <f>F177</f>
        <v>15.379212500000001</v>
      </c>
      <c r="F28" s="186">
        <f t="shared" si="0"/>
        <v>2768.2582500000003</v>
      </c>
      <c r="G28" s="185" t="s">
        <v>33</v>
      </c>
    </row>
    <row r="29" spans="1:7" ht="12.75">
      <c r="A29" s="480" t="s">
        <v>937</v>
      </c>
      <c r="B29" s="321" t="s">
        <v>269</v>
      </c>
      <c r="C29" s="175" t="s">
        <v>44</v>
      </c>
      <c r="D29" s="255">
        <v>800</v>
      </c>
      <c r="E29" s="152">
        <f>1.25*5.61</f>
        <v>7.0125</v>
      </c>
      <c r="F29" s="186">
        <f t="shared" si="0"/>
        <v>5610</v>
      </c>
      <c r="G29" s="624" t="s">
        <v>1317</v>
      </c>
    </row>
    <row r="30" spans="1:7" ht="12.75">
      <c r="A30" s="480" t="s">
        <v>938</v>
      </c>
      <c r="B30" s="321" t="s">
        <v>270</v>
      </c>
      <c r="C30" s="175" t="s">
        <v>44</v>
      </c>
      <c r="D30" s="255">
        <v>400</v>
      </c>
      <c r="E30" s="152">
        <f>1.25*4.15</f>
        <v>5.1875</v>
      </c>
      <c r="F30" s="186">
        <f t="shared" si="0"/>
        <v>2075</v>
      </c>
      <c r="G30" s="624" t="s">
        <v>1318</v>
      </c>
    </row>
    <row r="31" spans="1:7" ht="12.75">
      <c r="A31" s="480" t="s">
        <v>939</v>
      </c>
      <c r="B31" s="524" t="s">
        <v>271</v>
      </c>
      <c r="C31" s="175" t="s">
        <v>44</v>
      </c>
      <c r="D31" s="175">
        <v>2</v>
      </c>
      <c r="E31" s="152">
        <f>F182</f>
        <v>57.8089125</v>
      </c>
      <c r="F31" s="186">
        <f t="shared" si="0"/>
        <v>115.617825</v>
      </c>
      <c r="G31" s="185" t="s">
        <v>33</v>
      </c>
    </row>
    <row r="32" spans="1:7" ht="12.75">
      <c r="A32" s="480" t="s">
        <v>940</v>
      </c>
      <c r="B32" s="361" t="s">
        <v>600</v>
      </c>
      <c r="C32" s="175" t="s">
        <v>11</v>
      </c>
      <c r="D32" s="175">
        <v>1</v>
      </c>
      <c r="E32" s="152">
        <f>F187</f>
        <v>248.73125000000002</v>
      </c>
      <c r="F32" s="186">
        <f t="shared" si="0"/>
        <v>248.73125000000002</v>
      </c>
      <c r="G32" s="185" t="s">
        <v>33</v>
      </c>
    </row>
    <row r="33" spans="1:7" ht="12.75">
      <c r="A33" s="480" t="s">
        <v>941</v>
      </c>
      <c r="B33" s="361" t="s">
        <v>272</v>
      </c>
      <c r="C33" s="175" t="s">
        <v>11</v>
      </c>
      <c r="D33" s="175">
        <v>1</v>
      </c>
      <c r="E33" s="152">
        <f>F192</f>
        <v>191.9979166666667</v>
      </c>
      <c r="F33" s="186">
        <f t="shared" si="0"/>
        <v>191.9979166666667</v>
      </c>
      <c r="G33" s="185" t="s">
        <v>33</v>
      </c>
    </row>
    <row r="34" spans="1:7" ht="26.25" thickBot="1">
      <c r="A34" s="480" t="s">
        <v>942</v>
      </c>
      <c r="B34" s="361" t="s">
        <v>273</v>
      </c>
      <c r="C34" s="175" t="s">
        <v>11</v>
      </c>
      <c r="D34" s="175">
        <v>1</v>
      </c>
      <c r="E34" s="152">
        <f>F201</f>
        <v>322.2484375</v>
      </c>
      <c r="F34" s="186">
        <f t="shared" si="0"/>
        <v>322.2484375</v>
      </c>
      <c r="G34" s="234" t="s">
        <v>33</v>
      </c>
    </row>
    <row r="35" spans="1:6" ht="30" customHeight="1" thickBot="1">
      <c r="A35" s="753"/>
      <c r="B35" s="754"/>
      <c r="C35" s="754"/>
      <c r="D35" s="754"/>
      <c r="E35" s="754"/>
      <c r="F35" s="755"/>
    </row>
    <row r="37" spans="1:7" ht="51">
      <c r="A37" s="360" t="s">
        <v>917</v>
      </c>
      <c r="B37" s="421" t="s">
        <v>601</v>
      </c>
      <c r="C37" s="59" t="s">
        <v>35</v>
      </c>
      <c r="D37" s="438" t="s">
        <v>603</v>
      </c>
      <c r="E37" s="61" t="s">
        <v>29</v>
      </c>
      <c r="F37" s="61" t="s">
        <v>8</v>
      </c>
      <c r="G37" s="62" t="s">
        <v>30</v>
      </c>
    </row>
    <row r="38" spans="1:7" ht="12.75">
      <c r="A38" s="480" t="s">
        <v>944</v>
      </c>
      <c r="B38" s="407" t="s">
        <v>607</v>
      </c>
      <c r="C38" s="362" t="s">
        <v>11</v>
      </c>
      <c r="D38" s="513">
        <v>1</v>
      </c>
      <c r="E38" s="514">
        <f>1.25*6406.9</f>
        <v>8008.625</v>
      </c>
      <c r="F38" s="515">
        <f>E38*D38</f>
        <v>8008.625</v>
      </c>
      <c r="G38" s="516" t="s">
        <v>45</v>
      </c>
    </row>
    <row r="39" spans="1:7" ht="12.75">
      <c r="A39" s="480" t="s">
        <v>945</v>
      </c>
      <c r="B39" s="407" t="s">
        <v>605</v>
      </c>
      <c r="C39" s="362" t="s">
        <v>34</v>
      </c>
      <c r="D39" s="513">
        <v>4</v>
      </c>
      <c r="E39" s="517">
        <f>1.25*21.14</f>
        <v>26.425</v>
      </c>
      <c r="F39" s="515">
        <f>E39*D39</f>
        <v>105.7</v>
      </c>
      <c r="G39" s="516" t="s">
        <v>1319</v>
      </c>
    </row>
    <row r="40" spans="1:7" ht="12.75">
      <c r="A40" s="480" t="s">
        <v>946</v>
      </c>
      <c r="B40" s="407" t="s">
        <v>606</v>
      </c>
      <c r="C40" s="362" t="s">
        <v>34</v>
      </c>
      <c r="D40" s="513">
        <v>4</v>
      </c>
      <c r="E40" s="517">
        <f>1.25*20.57</f>
        <v>25.7125</v>
      </c>
      <c r="F40" s="515">
        <f>E40*D40</f>
        <v>102.85</v>
      </c>
      <c r="G40" s="516" t="s">
        <v>1320</v>
      </c>
    </row>
    <row r="41" spans="1:7" ht="12.75">
      <c r="A41" s="518"/>
      <c r="B41" s="413"/>
      <c r="C41" s="436"/>
      <c r="D41" s="436"/>
      <c r="E41" s="519" t="s">
        <v>10</v>
      </c>
      <c r="F41" s="520">
        <f>SUM(F38:F40)</f>
        <v>8217.175</v>
      </c>
      <c r="G41" s="518"/>
    </row>
    <row r="42" spans="1:7" ht="51">
      <c r="A42" s="360" t="s">
        <v>918</v>
      </c>
      <c r="B42" s="421" t="s">
        <v>602</v>
      </c>
      <c r="C42" s="59" t="s">
        <v>35</v>
      </c>
      <c r="D42" s="438" t="s">
        <v>603</v>
      </c>
      <c r="E42" s="61" t="s">
        <v>29</v>
      </c>
      <c r="F42" s="61" t="s">
        <v>8</v>
      </c>
      <c r="G42" s="62" t="s">
        <v>30</v>
      </c>
    </row>
    <row r="43" spans="1:7" ht="12.75">
      <c r="A43" s="480" t="s">
        <v>947</v>
      </c>
      <c r="B43" s="407" t="s">
        <v>604</v>
      </c>
      <c r="C43" s="362" t="s">
        <v>11</v>
      </c>
      <c r="D43" s="513">
        <v>1</v>
      </c>
      <c r="E43" s="514">
        <f>1.25*2941.84</f>
        <v>3677.3</v>
      </c>
      <c r="F43" s="515">
        <f>E43*D43</f>
        <v>3677.3</v>
      </c>
      <c r="G43" s="516" t="s">
        <v>45</v>
      </c>
    </row>
    <row r="44" spans="1:7" ht="12.75">
      <c r="A44" s="480" t="s">
        <v>948</v>
      </c>
      <c r="B44" s="407" t="s">
        <v>605</v>
      </c>
      <c r="C44" s="362" t="s">
        <v>43</v>
      </c>
      <c r="D44" s="513">
        <v>4</v>
      </c>
      <c r="E44" s="517">
        <f>1.25*21.14</f>
        <v>26.425</v>
      </c>
      <c r="F44" s="515">
        <f>E44*D44</f>
        <v>105.7</v>
      </c>
      <c r="G44" s="516" t="s">
        <v>1319</v>
      </c>
    </row>
    <row r="45" spans="1:7" ht="12.75">
      <c r="A45" s="480" t="s">
        <v>949</v>
      </c>
      <c r="B45" s="407" t="s">
        <v>606</v>
      </c>
      <c r="C45" s="362" t="s">
        <v>43</v>
      </c>
      <c r="D45" s="513">
        <v>4</v>
      </c>
      <c r="E45" s="517">
        <f>1.25*20.57</f>
        <v>25.7125</v>
      </c>
      <c r="F45" s="515">
        <f>E45*D45</f>
        <v>102.85</v>
      </c>
      <c r="G45" s="516" t="s">
        <v>1320</v>
      </c>
    </row>
    <row r="46" spans="1:7" ht="12.75">
      <c r="A46" s="518"/>
      <c r="B46" s="413"/>
      <c r="C46" s="436"/>
      <c r="D46" s="436"/>
      <c r="E46" s="519" t="s">
        <v>10</v>
      </c>
      <c r="F46" s="520">
        <f>SUM(F43:F45)</f>
        <v>3885.85</v>
      </c>
      <c r="G46" s="518"/>
    </row>
    <row r="47" spans="1:7" ht="25.5">
      <c r="A47" s="360" t="s">
        <v>919</v>
      </c>
      <c r="B47" s="421" t="s">
        <v>257</v>
      </c>
      <c r="C47" s="59" t="s">
        <v>5</v>
      </c>
      <c r="D47" s="60" t="s">
        <v>6</v>
      </c>
      <c r="E47" s="61" t="s">
        <v>29</v>
      </c>
      <c r="F47" s="61" t="s">
        <v>8</v>
      </c>
      <c r="G47" s="62" t="s">
        <v>30</v>
      </c>
    </row>
    <row r="48" spans="1:7" ht="25.5">
      <c r="A48" s="499" t="s">
        <v>950</v>
      </c>
      <c r="B48" s="361" t="s">
        <v>257</v>
      </c>
      <c r="C48" s="500" t="s">
        <v>11</v>
      </c>
      <c r="D48" s="501">
        <v>1</v>
      </c>
      <c r="E48" s="502">
        <f>1.25*2595.19</f>
        <v>3243.9875</v>
      </c>
      <c r="F48" s="503">
        <f>D48*E48</f>
        <v>3243.9875</v>
      </c>
      <c r="G48" s="364" t="s">
        <v>45</v>
      </c>
    </row>
    <row r="49" spans="1:7" ht="12.75">
      <c r="A49" s="499" t="s">
        <v>951</v>
      </c>
      <c r="B49" s="361" t="s">
        <v>380</v>
      </c>
      <c r="C49" s="500" t="s">
        <v>34</v>
      </c>
      <c r="D49" s="501">
        <v>0.5</v>
      </c>
      <c r="E49" s="502">
        <f>1.25*19.67</f>
        <v>24.587500000000002</v>
      </c>
      <c r="F49" s="503">
        <f>D49*E49</f>
        <v>12.293750000000001</v>
      </c>
      <c r="G49" s="364" t="s">
        <v>1296</v>
      </c>
    </row>
    <row r="50" spans="1:7" ht="12.75">
      <c r="A50" s="499" t="s">
        <v>952</v>
      </c>
      <c r="B50" s="361" t="s">
        <v>562</v>
      </c>
      <c r="C50" s="500" t="s">
        <v>34</v>
      </c>
      <c r="D50" s="501">
        <v>0.5</v>
      </c>
      <c r="E50" s="502">
        <f>1.25*14.71</f>
        <v>18.387500000000003</v>
      </c>
      <c r="F50" s="503">
        <f>D50*E50</f>
        <v>9.193750000000001</v>
      </c>
      <c r="G50" s="364" t="s">
        <v>1220</v>
      </c>
    </row>
    <row r="51" spans="1:7" ht="12.75">
      <c r="A51"/>
      <c r="D51" s="7"/>
      <c r="E51" s="412" t="s">
        <v>31</v>
      </c>
      <c r="F51" s="503">
        <f>SUM(F48:F50)</f>
        <v>3265.475</v>
      </c>
      <c r="G51"/>
    </row>
    <row r="52" spans="1:7" ht="25.5">
      <c r="A52" s="360" t="s">
        <v>920</v>
      </c>
      <c r="B52" s="421" t="s">
        <v>258</v>
      </c>
      <c r="C52" s="59" t="s">
        <v>5</v>
      </c>
      <c r="D52" s="60" t="s">
        <v>6</v>
      </c>
      <c r="E52" s="61" t="s">
        <v>29</v>
      </c>
      <c r="F52" s="61" t="s">
        <v>8</v>
      </c>
      <c r="G52" s="62" t="s">
        <v>30</v>
      </c>
    </row>
    <row r="53" spans="1:7" ht="12.75">
      <c r="A53" s="499" t="s">
        <v>953</v>
      </c>
      <c r="B53" s="361" t="s">
        <v>668</v>
      </c>
      <c r="C53" s="500" t="s">
        <v>11</v>
      </c>
      <c r="D53" s="501">
        <v>1</v>
      </c>
      <c r="E53" s="502">
        <f>1.25*2116.01</f>
        <v>2645.0125000000003</v>
      </c>
      <c r="F53" s="503">
        <f>D53*E53</f>
        <v>2645.0125000000003</v>
      </c>
      <c r="G53" s="364" t="s">
        <v>45</v>
      </c>
    </row>
    <row r="54" spans="1:7" ht="12.75">
      <c r="A54" s="499" t="s">
        <v>954</v>
      </c>
      <c r="B54" s="361" t="s">
        <v>380</v>
      </c>
      <c r="C54" s="500" t="s">
        <v>34</v>
      </c>
      <c r="D54" s="501">
        <v>0.5</v>
      </c>
      <c r="E54" s="502">
        <f>1.25*19.67</f>
        <v>24.587500000000002</v>
      </c>
      <c r="F54" s="503">
        <f>D54*E54</f>
        <v>12.293750000000001</v>
      </c>
      <c r="G54" s="364" t="s">
        <v>1296</v>
      </c>
    </row>
    <row r="55" spans="1:7" ht="12.75">
      <c r="A55" s="499" t="s">
        <v>955</v>
      </c>
      <c r="B55" s="361" t="s">
        <v>562</v>
      </c>
      <c r="C55" s="500" t="s">
        <v>34</v>
      </c>
      <c r="D55" s="501">
        <v>0.5</v>
      </c>
      <c r="E55" s="502">
        <f>1.25*14.71</f>
        <v>18.387500000000003</v>
      </c>
      <c r="F55" s="503">
        <f>D55*E55</f>
        <v>9.193750000000001</v>
      </c>
      <c r="G55" s="364" t="s">
        <v>1220</v>
      </c>
    </row>
    <row r="56" spans="1:7" ht="12.75">
      <c r="A56"/>
      <c r="D56" s="7"/>
      <c r="E56" s="412" t="s">
        <v>31</v>
      </c>
      <c r="F56" s="503">
        <f>SUM(F53:F55)</f>
        <v>2666.5</v>
      </c>
      <c r="G56"/>
    </row>
    <row r="57" spans="1:7" ht="12.75">
      <c r="A57" s="360" t="s">
        <v>921</v>
      </c>
      <c r="B57" s="421" t="s">
        <v>259</v>
      </c>
      <c r="C57" s="59" t="s">
        <v>5</v>
      </c>
      <c r="D57" s="60" t="s">
        <v>6</v>
      </c>
      <c r="E57" s="61" t="s">
        <v>29</v>
      </c>
      <c r="F57" s="61" t="s">
        <v>8</v>
      </c>
      <c r="G57" s="62" t="s">
        <v>30</v>
      </c>
    </row>
    <row r="58" spans="1:7" ht="12.75">
      <c r="A58" s="499" t="s">
        <v>956</v>
      </c>
      <c r="B58" s="361" t="s">
        <v>259</v>
      </c>
      <c r="C58" s="500" t="s">
        <v>11</v>
      </c>
      <c r="D58" s="501">
        <v>1</v>
      </c>
      <c r="E58" s="502">
        <f>1.25*128.2</f>
        <v>160.25</v>
      </c>
      <c r="F58" s="503">
        <f>D58*E58</f>
        <v>160.25</v>
      </c>
      <c r="G58" s="364" t="s">
        <v>45</v>
      </c>
    </row>
    <row r="59" spans="1:7" ht="12.75">
      <c r="A59" s="499" t="s">
        <v>957</v>
      </c>
      <c r="B59" s="361" t="s">
        <v>380</v>
      </c>
      <c r="C59" s="500" t="s">
        <v>34</v>
      </c>
      <c r="D59" s="501">
        <v>0.5</v>
      </c>
      <c r="E59" s="502">
        <f>1.25*19.67</f>
        <v>24.587500000000002</v>
      </c>
      <c r="F59" s="503">
        <f>D59*E59</f>
        <v>12.293750000000001</v>
      </c>
      <c r="G59" s="364" t="s">
        <v>1296</v>
      </c>
    </row>
    <row r="60" spans="1:7" ht="12.75">
      <c r="A60" s="499" t="s">
        <v>958</v>
      </c>
      <c r="B60" s="361" t="s">
        <v>562</v>
      </c>
      <c r="C60" s="500" t="s">
        <v>34</v>
      </c>
      <c r="D60" s="501">
        <v>0.5</v>
      </c>
      <c r="E60" s="502">
        <f>1.25*14.71</f>
        <v>18.387500000000003</v>
      </c>
      <c r="F60" s="503">
        <f>D60*E60</f>
        <v>9.193750000000001</v>
      </c>
      <c r="G60" s="364" t="s">
        <v>1220</v>
      </c>
    </row>
    <row r="61" spans="1:7" ht="12.75">
      <c r="A61"/>
      <c r="D61" s="7"/>
      <c r="E61" s="412" t="s">
        <v>31</v>
      </c>
      <c r="F61" s="503">
        <f>SUM(F58:F60)</f>
        <v>181.73749999999998</v>
      </c>
      <c r="G61"/>
    </row>
    <row r="62" spans="1:7" ht="12.75">
      <c r="A62" s="360" t="s">
        <v>922</v>
      </c>
      <c r="B62" s="421" t="s">
        <v>260</v>
      </c>
      <c r="C62" s="59" t="s">
        <v>5</v>
      </c>
      <c r="D62" s="60" t="s">
        <v>6</v>
      </c>
      <c r="E62" s="61" t="s">
        <v>29</v>
      </c>
      <c r="F62" s="61" t="s">
        <v>8</v>
      </c>
      <c r="G62" s="62" t="s">
        <v>30</v>
      </c>
    </row>
    <row r="63" spans="1:7" ht="12.75">
      <c r="A63" s="499" t="s">
        <v>959</v>
      </c>
      <c r="B63" s="361" t="s">
        <v>260</v>
      </c>
      <c r="C63" s="500" t="s">
        <v>11</v>
      </c>
      <c r="D63" s="501">
        <v>1</v>
      </c>
      <c r="E63" s="502">
        <f>1.25*143.43</f>
        <v>179.28750000000002</v>
      </c>
      <c r="F63" s="503">
        <f>D63*E63</f>
        <v>179.28750000000002</v>
      </c>
      <c r="G63" s="364" t="s">
        <v>45</v>
      </c>
    </row>
    <row r="64" spans="1:7" ht="12.75">
      <c r="A64" s="499" t="s">
        <v>960</v>
      </c>
      <c r="B64" s="361" t="s">
        <v>380</v>
      </c>
      <c r="C64" s="500" t="s">
        <v>34</v>
      </c>
      <c r="D64" s="501">
        <v>0.5</v>
      </c>
      <c r="E64" s="502">
        <f>1.25*19.67</f>
        <v>24.587500000000002</v>
      </c>
      <c r="F64" s="503">
        <f>D64*E64</f>
        <v>12.293750000000001</v>
      </c>
      <c r="G64" s="364" t="s">
        <v>1296</v>
      </c>
    </row>
    <row r="65" spans="1:7" ht="12.75">
      <c r="A65" s="499" t="s">
        <v>961</v>
      </c>
      <c r="B65" s="361" t="s">
        <v>562</v>
      </c>
      <c r="C65" s="500" t="s">
        <v>34</v>
      </c>
      <c r="D65" s="501">
        <v>0.5</v>
      </c>
      <c r="E65" s="502">
        <f>1.25*14.71</f>
        <v>18.387500000000003</v>
      </c>
      <c r="F65" s="503">
        <f>D65*E65</f>
        <v>9.193750000000001</v>
      </c>
      <c r="G65" s="364" t="s">
        <v>1220</v>
      </c>
    </row>
    <row r="66" spans="1:7" ht="12.75">
      <c r="A66"/>
      <c r="D66" s="7"/>
      <c r="E66" s="412" t="s">
        <v>31</v>
      </c>
      <c r="F66" s="503">
        <f>SUM(F63:F65)</f>
        <v>200.775</v>
      </c>
      <c r="G66"/>
    </row>
    <row r="67" spans="1:7" ht="12.75">
      <c r="A67" s="360" t="s">
        <v>923</v>
      </c>
      <c r="B67" s="421" t="s">
        <v>261</v>
      </c>
      <c r="C67" s="59" t="s">
        <v>5</v>
      </c>
      <c r="D67" s="60" t="s">
        <v>6</v>
      </c>
      <c r="E67" s="61" t="s">
        <v>29</v>
      </c>
      <c r="F67" s="61" t="s">
        <v>8</v>
      </c>
      <c r="G67" s="62" t="s">
        <v>30</v>
      </c>
    </row>
    <row r="68" spans="1:7" ht="12.75">
      <c r="A68" s="499" t="s">
        <v>962</v>
      </c>
      <c r="B68" s="361" t="s">
        <v>261</v>
      </c>
      <c r="C68" s="500" t="s">
        <v>11</v>
      </c>
      <c r="D68" s="501">
        <v>1</v>
      </c>
      <c r="E68" s="502">
        <f>1.25*383.44</f>
        <v>479.3</v>
      </c>
      <c r="F68" s="503">
        <f>D68*E68</f>
        <v>479.3</v>
      </c>
      <c r="G68" s="364" t="s">
        <v>45</v>
      </c>
    </row>
    <row r="69" spans="1:7" ht="12.75">
      <c r="A69" s="499" t="s">
        <v>963</v>
      </c>
      <c r="B69" s="361" t="s">
        <v>380</v>
      </c>
      <c r="C69" s="500" t="s">
        <v>34</v>
      </c>
      <c r="D69" s="501">
        <v>0.5</v>
      </c>
      <c r="E69" s="502">
        <f>1.25*19.67</f>
        <v>24.587500000000002</v>
      </c>
      <c r="F69" s="503">
        <f>D69*E69</f>
        <v>12.293750000000001</v>
      </c>
      <c r="G69" s="364" t="s">
        <v>1296</v>
      </c>
    </row>
    <row r="70" spans="1:7" ht="12.75">
      <c r="A70" s="499" t="s">
        <v>964</v>
      </c>
      <c r="B70" s="361" t="s">
        <v>562</v>
      </c>
      <c r="C70" s="500" t="s">
        <v>34</v>
      </c>
      <c r="D70" s="501">
        <v>0.5</v>
      </c>
      <c r="E70" s="502">
        <f>1.25*14.71</f>
        <v>18.387500000000003</v>
      </c>
      <c r="F70" s="503">
        <f>D70*E70</f>
        <v>9.193750000000001</v>
      </c>
      <c r="G70" s="364" t="s">
        <v>1220</v>
      </c>
    </row>
    <row r="71" spans="1:7" ht="12.75">
      <c r="A71"/>
      <c r="D71" s="7"/>
      <c r="E71" s="412" t="s">
        <v>31</v>
      </c>
      <c r="F71" s="503">
        <f>SUM(F68:F70)</f>
        <v>500.7875</v>
      </c>
      <c r="G71"/>
    </row>
    <row r="72" spans="1:7" ht="38.25">
      <c r="A72" s="644" t="s">
        <v>924</v>
      </c>
      <c r="B72" s="421" t="s">
        <v>262</v>
      </c>
      <c r="C72" s="59" t="s">
        <v>5</v>
      </c>
      <c r="D72" s="60" t="s">
        <v>6</v>
      </c>
      <c r="E72" s="61" t="s">
        <v>29</v>
      </c>
      <c r="F72" s="61" t="s">
        <v>8</v>
      </c>
      <c r="G72" s="62" t="s">
        <v>30</v>
      </c>
    </row>
    <row r="73" spans="1:7" ht="25.5">
      <c r="A73" s="461" t="s">
        <v>1355</v>
      </c>
      <c r="B73" s="361" t="s">
        <v>659</v>
      </c>
      <c r="C73" s="568" t="s">
        <v>40</v>
      </c>
      <c r="D73" s="523">
        <v>2</v>
      </c>
      <c r="E73" s="502">
        <f>1.25*2.63</f>
        <v>3.2874999999999996</v>
      </c>
      <c r="F73" s="569">
        <f aca="true" t="shared" si="1" ref="F73:F86">D73*E73</f>
        <v>6.574999999999999</v>
      </c>
      <c r="G73" s="364" t="s">
        <v>1345</v>
      </c>
    </row>
    <row r="74" spans="1:7" ht="12.75">
      <c r="A74" s="461" t="s">
        <v>1356</v>
      </c>
      <c r="B74" s="361" t="s">
        <v>1346</v>
      </c>
      <c r="C74" s="568" t="s">
        <v>44</v>
      </c>
      <c r="D74" s="643">
        <v>7</v>
      </c>
      <c r="E74" s="502">
        <f>1.25*10.82</f>
        <v>13.525</v>
      </c>
      <c r="F74" s="569">
        <f t="shared" si="1"/>
        <v>94.675</v>
      </c>
      <c r="G74" s="364" t="s">
        <v>1321</v>
      </c>
    </row>
    <row r="75" spans="1:7" ht="12.75">
      <c r="A75" s="461" t="s">
        <v>1357</v>
      </c>
      <c r="B75" s="361" t="s">
        <v>661</v>
      </c>
      <c r="C75" s="568" t="s">
        <v>44</v>
      </c>
      <c r="D75" s="643">
        <v>20</v>
      </c>
      <c r="E75" s="502">
        <f>1.25*(5.12+2.63)</f>
        <v>9.6875</v>
      </c>
      <c r="F75" s="569">
        <f t="shared" si="1"/>
        <v>193.75</v>
      </c>
      <c r="G75" s="364" t="s">
        <v>1322</v>
      </c>
    </row>
    <row r="76" spans="1:7" ht="12.75">
      <c r="A76" s="461" t="s">
        <v>1358</v>
      </c>
      <c r="B76" s="361" t="s">
        <v>1351</v>
      </c>
      <c r="C76" s="568" t="s">
        <v>44</v>
      </c>
      <c r="D76" s="643">
        <f>D75*3</f>
        <v>60</v>
      </c>
      <c r="E76" s="502">
        <f>1.25*7.02</f>
        <v>8.774999999999999</v>
      </c>
      <c r="F76" s="569">
        <f t="shared" si="1"/>
        <v>526.4999999999999</v>
      </c>
      <c r="G76" s="364" t="s">
        <v>1349</v>
      </c>
    </row>
    <row r="77" spans="1:7" ht="12.75">
      <c r="A77" s="461" t="s">
        <v>1359</v>
      </c>
      <c r="B77" s="361" t="s">
        <v>658</v>
      </c>
      <c r="C77" s="568" t="s">
        <v>40</v>
      </c>
      <c r="D77" s="523">
        <v>6</v>
      </c>
      <c r="E77" s="502">
        <f>1.25*52.75</f>
        <v>65.9375</v>
      </c>
      <c r="F77" s="569">
        <f t="shared" si="1"/>
        <v>395.625</v>
      </c>
      <c r="G77" s="364" t="s">
        <v>1323</v>
      </c>
    </row>
    <row r="78" spans="1:7" ht="12.75">
      <c r="A78" s="461" t="s">
        <v>1360</v>
      </c>
      <c r="B78" s="361" t="s">
        <v>657</v>
      </c>
      <c r="C78" s="568" t="s">
        <v>40</v>
      </c>
      <c r="D78" s="523">
        <v>1</v>
      </c>
      <c r="E78" s="502">
        <f>1.25*77.2</f>
        <v>96.5</v>
      </c>
      <c r="F78" s="569">
        <f t="shared" si="1"/>
        <v>96.5</v>
      </c>
      <c r="G78" s="364" t="s">
        <v>1324</v>
      </c>
    </row>
    <row r="79" spans="1:7" ht="25.5">
      <c r="A79" s="461" t="s">
        <v>1361</v>
      </c>
      <c r="B79" s="543" t="s">
        <v>1395</v>
      </c>
      <c r="C79" s="110" t="s">
        <v>11</v>
      </c>
      <c r="D79" s="255">
        <v>1</v>
      </c>
      <c r="E79" s="502">
        <f>1.25*233.77</f>
        <v>292.21250000000003</v>
      </c>
      <c r="F79" s="569">
        <f t="shared" si="1"/>
        <v>292.21250000000003</v>
      </c>
      <c r="G79" s="534" t="s">
        <v>1250</v>
      </c>
    </row>
    <row r="80" spans="1:7" ht="27" customHeight="1">
      <c r="A80" s="461" t="s">
        <v>1362</v>
      </c>
      <c r="B80" s="361" t="s">
        <v>660</v>
      </c>
      <c r="C80" s="568" t="s">
        <v>40</v>
      </c>
      <c r="D80" s="523">
        <v>2</v>
      </c>
      <c r="E80" s="502">
        <f>1.25*29.49</f>
        <v>36.8625</v>
      </c>
      <c r="F80" s="569">
        <f>D80*E80</f>
        <v>73.725</v>
      </c>
      <c r="G80" s="364" t="s">
        <v>1325</v>
      </c>
    </row>
    <row r="81" spans="1:7" ht="25.5">
      <c r="A81" s="461" t="s">
        <v>1363</v>
      </c>
      <c r="B81" s="361" t="s">
        <v>662</v>
      </c>
      <c r="C81" s="568" t="s">
        <v>40</v>
      </c>
      <c r="D81" s="523">
        <v>1</v>
      </c>
      <c r="E81" s="502">
        <f>1.25*186.74</f>
        <v>233.425</v>
      </c>
      <c r="F81" s="569">
        <f>D81*E81</f>
        <v>233.425</v>
      </c>
      <c r="G81" s="364" t="s">
        <v>1326</v>
      </c>
    </row>
    <row r="82" spans="1:7" ht="12.75">
      <c r="A82" s="461" t="s">
        <v>1364</v>
      </c>
      <c r="B82" s="361" t="s">
        <v>617</v>
      </c>
      <c r="C82" s="568" t="s">
        <v>34</v>
      </c>
      <c r="D82" s="523">
        <v>5.8</v>
      </c>
      <c r="E82" s="502">
        <f>1.25*14.71</f>
        <v>18.387500000000003</v>
      </c>
      <c r="F82" s="569">
        <f t="shared" si="1"/>
        <v>106.64750000000001</v>
      </c>
      <c r="G82" s="364" t="s">
        <v>1220</v>
      </c>
    </row>
    <row r="83" spans="1:7" ht="12.75">
      <c r="A83" s="461" t="s">
        <v>1365</v>
      </c>
      <c r="B83" s="361" t="s">
        <v>380</v>
      </c>
      <c r="C83" s="568" t="s">
        <v>34</v>
      </c>
      <c r="D83" s="523">
        <v>5.8</v>
      </c>
      <c r="E83" s="502">
        <f>1.25*19.67</f>
        <v>24.587500000000002</v>
      </c>
      <c r="F83" s="569">
        <f t="shared" si="1"/>
        <v>142.60750000000002</v>
      </c>
      <c r="G83" s="364" t="s">
        <v>1296</v>
      </c>
    </row>
    <row r="84" spans="1:7" ht="12.75">
      <c r="A84" s="461" t="s">
        <v>1366</v>
      </c>
      <c r="B84" s="361" t="s">
        <v>350</v>
      </c>
      <c r="C84" s="568" t="s">
        <v>34</v>
      </c>
      <c r="D84" s="523">
        <v>2.5</v>
      </c>
      <c r="E84" s="502">
        <f>1.25*19.46</f>
        <v>24.325000000000003</v>
      </c>
      <c r="F84" s="569">
        <f t="shared" si="1"/>
        <v>60.81250000000001</v>
      </c>
      <c r="G84" s="364" t="s">
        <v>1149</v>
      </c>
    </row>
    <row r="85" spans="1:7" ht="12.75">
      <c r="A85" s="461" t="s">
        <v>1367</v>
      </c>
      <c r="B85" s="361" t="s">
        <v>349</v>
      </c>
      <c r="C85" s="568" t="s">
        <v>34</v>
      </c>
      <c r="D85" s="523">
        <v>2.38</v>
      </c>
      <c r="E85" s="502">
        <f>1.25*13.76</f>
        <v>17.2</v>
      </c>
      <c r="F85" s="569">
        <f t="shared" si="1"/>
        <v>40.936</v>
      </c>
      <c r="G85" s="364" t="s">
        <v>1142</v>
      </c>
    </row>
    <row r="86" spans="1:7" ht="12.75">
      <c r="A86" s="461" t="s">
        <v>1368</v>
      </c>
      <c r="B86" s="361" t="s">
        <v>663</v>
      </c>
      <c r="C86" s="568" t="s">
        <v>36</v>
      </c>
      <c r="D86" s="523">
        <v>0.04</v>
      </c>
      <c r="E86" s="502">
        <f>1.25*342.12</f>
        <v>427.65</v>
      </c>
      <c r="F86" s="569">
        <f t="shared" si="1"/>
        <v>17.105999999999998</v>
      </c>
      <c r="G86" s="364" t="s">
        <v>1327</v>
      </c>
    </row>
    <row r="87" spans="1:7" ht="12.75">
      <c r="A87" s="111"/>
      <c r="D87" s="7"/>
      <c r="E87" s="415" t="s">
        <v>31</v>
      </c>
      <c r="F87" s="567">
        <f>SUM(F73:F86)</f>
        <v>2281.097</v>
      </c>
      <c r="G87"/>
    </row>
    <row r="88" spans="1:7" ht="38.25">
      <c r="A88" s="644" t="s">
        <v>925</v>
      </c>
      <c r="B88" s="421" t="s">
        <v>263</v>
      </c>
      <c r="C88" s="360" t="s">
        <v>5</v>
      </c>
      <c r="D88" s="360" t="s">
        <v>6</v>
      </c>
      <c r="E88" s="360" t="s">
        <v>29</v>
      </c>
      <c r="F88" s="360" t="s">
        <v>8</v>
      </c>
      <c r="G88" s="360" t="s">
        <v>30</v>
      </c>
    </row>
    <row r="89" spans="1:7" ht="25.5">
      <c r="A89" s="461" t="s">
        <v>1369</v>
      </c>
      <c r="B89" s="361" t="s">
        <v>659</v>
      </c>
      <c r="C89" s="568" t="s">
        <v>40</v>
      </c>
      <c r="D89" s="523">
        <v>2</v>
      </c>
      <c r="E89" s="502">
        <f>1.25*2.63</f>
        <v>3.2874999999999996</v>
      </c>
      <c r="F89" s="569">
        <f aca="true" t="shared" si="2" ref="F89:F102">D89*E89</f>
        <v>6.574999999999999</v>
      </c>
      <c r="G89" s="364" t="s">
        <v>1345</v>
      </c>
    </row>
    <row r="90" spans="1:7" ht="12.75">
      <c r="A90" s="461" t="s">
        <v>1370</v>
      </c>
      <c r="B90" s="361" t="s">
        <v>1346</v>
      </c>
      <c r="C90" s="568" t="s">
        <v>44</v>
      </c>
      <c r="D90" s="643">
        <v>7</v>
      </c>
      <c r="E90" s="502">
        <f>1.25*10.82</f>
        <v>13.525</v>
      </c>
      <c r="F90" s="569">
        <f t="shared" si="2"/>
        <v>94.675</v>
      </c>
      <c r="G90" s="364" t="s">
        <v>1321</v>
      </c>
    </row>
    <row r="91" spans="1:7" ht="12.75">
      <c r="A91" s="461" t="s">
        <v>1371</v>
      </c>
      <c r="B91" s="361" t="s">
        <v>1352</v>
      </c>
      <c r="C91" s="568" t="s">
        <v>44</v>
      </c>
      <c r="D91" s="643">
        <v>30</v>
      </c>
      <c r="E91" s="502">
        <f>1.25*2.2</f>
        <v>2.75</v>
      </c>
      <c r="F91" s="569">
        <f t="shared" si="2"/>
        <v>82.5</v>
      </c>
      <c r="G91" s="364" t="s">
        <v>1205</v>
      </c>
    </row>
    <row r="92" spans="1:7" ht="12.75">
      <c r="A92" s="461" t="s">
        <v>1372</v>
      </c>
      <c r="B92" s="361" t="s">
        <v>1348</v>
      </c>
      <c r="C92" s="568" t="s">
        <v>44</v>
      </c>
      <c r="D92" s="643">
        <v>10</v>
      </c>
      <c r="E92" s="363">
        <f>1.25*(2.24+0.88)</f>
        <v>3.9000000000000004</v>
      </c>
      <c r="F92" s="569">
        <f t="shared" si="2"/>
        <v>39</v>
      </c>
      <c r="G92" s="364" t="s">
        <v>1353</v>
      </c>
    </row>
    <row r="93" spans="1:7" ht="12.75">
      <c r="A93" s="461" t="s">
        <v>1373</v>
      </c>
      <c r="B93" s="361" t="s">
        <v>1347</v>
      </c>
      <c r="C93" s="568" t="s">
        <v>40</v>
      </c>
      <c r="D93" s="523">
        <v>1</v>
      </c>
      <c r="E93" s="502">
        <f>1.25*71.07</f>
        <v>88.83749999999999</v>
      </c>
      <c r="F93" s="569">
        <f t="shared" si="2"/>
        <v>88.83749999999999</v>
      </c>
      <c r="G93" s="364" t="s">
        <v>1354</v>
      </c>
    </row>
    <row r="94" spans="1:7" ht="12.75">
      <c r="A94" s="461" t="s">
        <v>1374</v>
      </c>
      <c r="B94" s="361" t="s">
        <v>658</v>
      </c>
      <c r="C94" s="568" t="s">
        <v>40</v>
      </c>
      <c r="D94" s="523">
        <v>2</v>
      </c>
      <c r="E94" s="502">
        <f>1.25*52.75</f>
        <v>65.9375</v>
      </c>
      <c r="F94" s="569">
        <f t="shared" si="2"/>
        <v>131.875</v>
      </c>
      <c r="G94" s="364" t="s">
        <v>1323</v>
      </c>
    </row>
    <row r="95" spans="1:7" ht="25.5">
      <c r="A95" s="461" t="s">
        <v>1375</v>
      </c>
      <c r="B95" s="543" t="s">
        <v>1395</v>
      </c>
      <c r="C95" s="110" t="s">
        <v>11</v>
      </c>
      <c r="D95" s="255">
        <v>1</v>
      </c>
      <c r="E95" s="502">
        <f>1.25*233.77</f>
        <v>292.21250000000003</v>
      </c>
      <c r="F95" s="569">
        <f t="shared" si="2"/>
        <v>292.21250000000003</v>
      </c>
      <c r="G95" s="534" t="s">
        <v>1250</v>
      </c>
    </row>
    <row r="96" spans="1:7" ht="38.25">
      <c r="A96" s="461" t="s">
        <v>1376</v>
      </c>
      <c r="B96" s="361" t="s">
        <v>660</v>
      </c>
      <c r="C96" s="568" t="s">
        <v>40</v>
      </c>
      <c r="D96" s="523">
        <v>2</v>
      </c>
      <c r="E96" s="502">
        <f>1.25*29.49</f>
        <v>36.8625</v>
      </c>
      <c r="F96" s="569">
        <f t="shared" si="2"/>
        <v>73.725</v>
      </c>
      <c r="G96" s="364" t="s">
        <v>1325</v>
      </c>
    </row>
    <row r="97" spans="1:7" ht="25.5">
      <c r="A97" s="461" t="s">
        <v>1377</v>
      </c>
      <c r="B97" s="361" t="s">
        <v>662</v>
      </c>
      <c r="C97" s="568" t="s">
        <v>40</v>
      </c>
      <c r="D97" s="523">
        <v>1</v>
      </c>
      <c r="E97" s="502">
        <f>1.25*186.74</f>
        <v>233.425</v>
      </c>
      <c r="F97" s="569">
        <f t="shared" si="2"/>
        <v>233.425</v>
      </c>
      <c r="G97" s="364" t="s">
        <v>1326</v>
      </c>
    </row>
    <row r="98" spans="1:7" ht="12.75">
      <c r="A98" s="461" t="s">
        <v>1378</v>
      </c>
      <c r="B98" s="361" t="s">
        <v>617</v>
      </c>
      <c r="C98" s="568" t="s">
        <v>34</v>
      </c>
      <c r="D98" s="523">
        <v>5.8</v>
      </c>
      <c r="E98" s="502">
        <f>1.25*14.71</f>
        <v>18.387500000000003</v>
      </c>
      <c r="F98" s="569">
        <f t="shared" si="2"/>
        <v>106.64750000000001</v>
      </c>
      <c r="G98" s="364" t="s">
        <v>1220</v>
      </c>
    </row>
    <row r="99" spans="1:7" ht="12.75">
      <c r="A99" s="461" t="s">
        <v>1379</v>
      </c>
      <c r="B99" s="361" t="s">
        <v>380</v>
      </c>
      <c r="C99" s="568" t="s">
        <v>34</v>
      </c>
      <c r="D99" s="523">
        <v>5.8</v>
      </c>
      <c r="E99" s="502">
        <f>1.25*19.67</f>
        <v>24.587500000000002</v>
      </c>
      <c r="F99" s="569">
        <f t="shared" si="2"/>
        <v>142.60750000000002</v>
      </c>
      <c r="G99" s="364" t="s">
        <v>1296</v>
      </c>
    </row>
    <row r="100" spans="1:7" ht="12.75">
      <c r="A100" s="461" t="s">
        <v>1380</v>
      </c>
      <c r="B100" s="361" t="s">
        <v>350</v>
      </c>
      <c r="C100" s="568" t="s">
        <v>34</v>
      </c>
      <c r="D100" s="523">
        <v>2.5</v>
      </c>
      <c r="E100" s="502">
        <f>1.25*19.46</f>
        <v>24.325000000000003</v>
      </c>
      <c r="F100" s="569">
        <f t="shared" si="2"/>
        <v>60.81250000000001</v>
      </c>
      <c r="G100" s="364" t="s">
        <v>1149</v>
      </c>
    </row>
    <row r="101" spans="1:7" ht="12.75">
      <c r="A101" s="461" t="s">
        <v>1381</v>
      </c>
      <c r="B101" s="361" t="s">
        <v>349</v>
      </c>
      <c r="C101" s="568" t="s">
        <v>34</v>
      </c>
      <c r="D101" s="523">
        <v>2.38</v>
      </c>
      <c r="E101" s="502">
        <f>1.25*13.76</f>
        <v>17.2</v>
      </c>
      <c r="F101" s="569">
        <f t="shared" si="2"/>
        <v>40.936</v>
      </c>
      <c r="G101" s="364" t="s">
        <v>1142</v>
      </c>
    </row>
    <row r="102" spans="1:7" ht="12.75">
      <c r="A102" s="461" t="s">
        <v>1382</v>
      </c>
      <c r="B102" s="361" t="s">
        <v>663</v>
      </c>
      <c r="C102" s="568" t="s">
        <v>36</v>
      </c>
      <c r="D102" s="523">
        <v>0.04</v>
      </c>
      <c r="E102" s="502">
        <f>1.25*342.12</f>
        <v>427.65</v>
      </c>
      <c r="F102" s="569">
        <f t="shared" si="2"/>
        <v>17.105999999999998</v>
      </c>
      <c r="G102" s="364" t="s">
        <v>1327</v>
      </c>
    </row>
    <row r="103" spans="1:7" ht="12.75">
      <c r="A103" s="111"/>
      <c r="D103" s="7"/>
      <c r="E103" s="415" t="s">
        <v>31</v>
      </c>
      <c r="F103" s="567">
        <f>SUM(F89:F102)</f>
        <v>1410.9345</v>
      </c>
      <c r="G103"/>
    </row>
    <row r="104" spans="1:7" ht="38.25">
      <c r="A104" s="645" t="s">
        <v>926</v>
      </c>
      <c r="B104" s="421" t="s">
        <v>264</v>
      </c>
      <c r="C104" s="360" t="s">
        <v>5</v>
      </c>
      <c r="D104" s="360" t="s">
        <v>6</v>
      </c>
      <c r="E104" s="360" t="s">
        <v>29</v>
      </c>
      <c r="F104" s="360" t="s">
        <v>8</v>
      </c>
      <c r="G104" s="360" t="s">
        <v>30</v>
      </c>
    </row>
    <row r="105" spans="1:7" ht="25.5">
      <c r="A105" s="461" t="s">
        <v>1383</v>
      </c>
      <c r="B105" s="361" t="s">
        <v>659</v>
      </c>
      <c r="C105" s="568" t="s">
        <v>40</v>
      </c>
      <c r="D105" s="523">
        <v>2</v>
      </c>
      <c r="E105" s="502">
        <f>1.25*2.63</f>
        <v>3.2874999999999996</v>
      </c>
      <c r="F105" s="569">
        <f aca="true" t="shared" si="3" ref="F105:F116">D105*E105</f>
        <v>6.574999999999999</v>
      </c>
      <c r="G105" s="364" t="s">
        <v>1345</v>
      </c>
    </row>
    <row r="106" spans="1:7" ht="12.75">
      <c r="A106" s="461" t="s">
        <v>1384</v>
      </c>
      <c r="B106" s="361" t="s">
        <v>1346</v>
      </c>
      <c r="C106" s="568" t="s">
        <v>44</v>
      </c>
      <c r="D106" s="643">
        <v>7</v>
      </c>
      <c r="E106" s="502">
        <f>1.25*10.82</f>
        <v>13.525</v>
      </c>
      <c r="F106" s="569">
        <f t="shared" si="3"/>
        <v>94.675</v>
      </c>
      <c r="G106" s="364" t="s">
        <v>1321</v>
      </c>
    </row>
    <row r="107" spans="1:7" ht="12.75">
      <c r="A107" s="461" t="s">
        <v>1385</v>
      </c>
      <c r="B107" s="361" t="s">
        <v>1352</v>
      </c>
      <c r="C107" s="568" t="s">
        <v>44</v>
      </c>
      <c r="D107" s="643">
        <f>D108*3</f>
        <v>30</v>
      </c>
      <c r="E107" s="502">
        <f>1.25*2.2</f>
        <v>2.75</v>
      </c>
      <c r="F107" s="569">
        <f t="shared" si="3"/>
        <v>82.5</v>
      </c>
      <c r="G107" s="364" t="s">
        <v>1205</v>
      </c>
    </row>
    <row r="108" spans="1:7" ht="12.75">
      <c r="A108" s="461" t="s">
        <v>1386</v>
      </c>
      <c r="B108" s="361" t="s">
        <v>1350</v>
      </c>
      <c r="C108" s="568" t="s">
        <v>44</v>
      </c>
      <c r="D108" s="643">
        <v>10</v>
      </c>
      <c r="E108" s="363">
        <f>1.25*(2.24+0.88)</f>
        <v>3.9000000000000004</v>
      </c>
      <c r="F108" s="569">
        <f t="shared" si="3"/>
        <v>39</v>
      </c>
      <c r="G108" s="364" t="s">
        <v>1353</v>
      </c>
    </row>
    <row r="109" spans="1:7" ht="12.75">
      <c r="A109" s="461" t="s">
        <v>1387</v>
      </c>
      <c r="B109" s="361" t="s">
        <v>1414</v>
      </c>
      <c r="C109" s="568" t="s">
        <v>40</v>
      </c>
      <c r="D109" s="523">
        <v>3</v>
      </c>
      <c r="E109" s="502">
        <f>1.25*52.75</f>
        <v>65.9375</v>
      </c>
      <c r="F109" s="569">
        <f t="shared" si="3"/>
        <v>197.8125</v>
      </c>
      <c r="G109" s="364" t="s">
        <v>1323</v>
      </c>
    </row>
    <row r="110" spans="1:7" ht="30" customHeight="1">
      <c r="A110" s="461" t="s">
        <v>1388</v>
      </c>
      <c r="B110" s="524" t="s">
        <v>660</v>
      </c>
      <c r="C110" s="568" t="s">
        <v>40</v>
      </c>
      <c r="D110" s="523">
        <v>2</v>
      </c>
      <c r="E110" s="502">
        <f>1.25*29.49</f>
        <v>36.8625</v>
      </c>
      <c r="F110" s="569">
        <f t="shared" si="3"/>
        <v>73.725</v>
      </c>
      <c r="G110" s="364" t="s">
        <v>1325</v>
      </c>
    </row>
    <row r="111" spans="1:7" ht="25.5">
      <c r="A111" s="461" t="s">
        <v>1389</v>
      </c>
      <c r="B111" s="361" t="s">
        <v>662</v>
      </c>
      <c r="C111" s="568" t="s">
        <v>40</v>
      </c>
      <c r="D111" s="523">
        <v>1</v>
      </c>
      <c r="E111" s="502">
        <f>1.25*186.74</f>
        <v>233.425</v>
      </c>
      <c r="F111" s="569">
        <f t="shared" si="3"/>
        <v>233.425</v>
      </c>
      <c r="G111" s="364" t="s">
        <v>1326</v>
      </c>
    </row>
    <row r="112" spans="1:7" ht="12.75">
      <c r="A112" s="461" t="s">
        <v>1390</v>
      </c>
      <c r="B112" s="361" t="s">
        <v>617</v>
      </c>
      <c r="C112" s="568" t="s">
        <v>34</v>
      </c>
      <c r="D112" s="523">
        <v>2</v>
      </c>
      <c r="E112" s="502">
        <f>1.25*14.71</f>
        <v>18.387500000000003</v>
      </c>
      <c r="F112" s="569">
        <f t="shared" si="3"/>
        <v>36.775000000000006</v>
      </c>
      <c r="G112" s="364" t="s">
        <v>1220</v>
      </c>
    </row>
    <row r="113" spans="1:7" ht="12.75">
      <c r="A113" s="461" t="s">
        <v>1391</v>
      </c>
      <c r="B113" s="361" t="s">
        <v>380</v>
      </c>
      <c r="C113" s="568" t="s">
        <v>34</v>
      </c>
      <c r="D113" s="523">
        <v>2</v>
      </c>
      <c r="E113" s="502">
        <f>1.25*19.67</f>
        <v>24.587500000000002</v>
      </c>
      <c r="F113" s="569">
        <f t="shared" si="3"/>
        <v>49.175000000000004</v>
      </c>
      <c r="G113" s="364" t="s">
        <v>1296</v>
      </c>
    </row>
    <row r="114" spans="1:7" ht="12.75">
      <c r="A114" s="461" t="s">
        <v>1392</v>
      </c>
      <c r="B114" s="361" t="s">
        <v>350</v>
      </c>
      <c r="C114" s="568" t="s">
        <v>34</v>
      </c>
      <c r="D114" s="523">
        <v>2.5</v>
      </c>
      <c r="E114" s="502">
        <f>1.25*19.46</f>
        <v>24.325000000000003</v>
      </c>
      <c r="F114" s="569">
        <f t="shared" si="3"/>
        <v>60.81250000000001</v>
      </c>
      <c r="G114" s="364" t="s">
        <v>1149</v>
      </c>
    </row>
    <row r="115" spans="1:7" ht="12.75">
      <c r="A115" s="461" t="s">
        <v>1393</v>
      </c>
      <c r="B115" s="361" t="s">
        <v>349</v>
      </c>
      <c r="C115" s="568" t="s">
        <v>34</v>
      </c>
      <c r="D115" s="523">
        <v>2.38</v>
      </c>
      <c r="E115" s="502">
        <f>1.25*13.76</f>
        <v>17.2</v>
      </c>
      <c r="F115" s="569">
        <f t="shared" si="3"/>
        <v>40.936</v>
      </c>
      <c r="G115" s="364" t="s">
        <v>1142</v>
      </c>
    </row>
    <row r="116" spans="1:7" ht="12.75">
      <c r="A116" s="461" t="s">
        <v>1394</v>
      </c>
      <c r="B116" s="361" t="s">
        <v>663</v>
      </c>
      <c r="C116" s="568" t="s">
        <v>36</v>
      </c>
      <c r="D116" s="523">
        <v>0.04</v>
      </c>
      <c r="E116" s="502">
        <f>1.25*342.12</f>
        <v>427.65</v>
      </c>
      <c r="F116" s="569">
        <f t="shared" si="3"/>
        <v>17.105999999999998</v>
      </c>
      <c r="G116" s="364" t="s">
        <v>1327</v>
      </c>
    </row>
    <row r="117" spans="1:7" ht="12.75">
      <c r="A117" s="646"/>
      <c r="D117" s="7"/>
      <c r="E117" s="415" t="s">
        <v>31</v>
      </c>
      <c r="F117" s="567">
        <f>SUM(F105:F116)</f>
        <v>932.517</v>
      </c>
      <c r="G117"/>
    </row>
    <row r="118" spans="1:7" ht="12.75">
      <c r="A118" s="360" t="s">
        <v>927</v>
      </c>
      <c r="B118" s="421" t="s">
        <v>610</v>
      </c>
      <c r="C118" s="59" t="s">
        <v>5</v>
      </c>
      <c r="D118" s="60" t="s">
        <v>6</v>
      </c>
      <c r="E118" s="61" t="s">
        <v>29</v>
      </c>
      <c r="F118" s="61" t="s">
        <v>8</v>
      </c>
      <c r="G118" s="62" t="s">
        <v>30</v>
      </c>
    </row>
    <row r="119" spans="1:7" ht="12.75">
      <c r="A119" s="412" t="s">
        <v>965</v>
      </c>
      <c r="B119" s="524" t="s">
        <v>610</v>
      </c>
      <c r="C119" s="500" t="s">
        <v>382</v>
      </c>
      <c r="D119" s="523">
        <v>1.19</v>
      </c>
      <c r="E119" s="502">
        <f>1.25*23.9</f>
        <v>29.875</v>
      </c>
      <c r="F119" s="503">
        <f>D119*E119</f>
        <v>35.551249999999996</v>
      </c>
      <c r="G119" s="364" t="s">
        <v>1328</v>
      </c>
    </row>
    <row r="120" spans="1:7" ht="12.75">
      <c r="A120" s="412" t="s">
        <v>966</v>
      </c>
      <c r="B120" s="524" t="s">
        <v>615</v>
      </c>
      <c r="C120" s="500" t="s">
        <v>609</v>
      </c>
      <c r="D120" s="523">
        <v>0.009</v>
      </c>
      <c r="E120" s="502">
        <f>1.25*2.98</f>
        <v>3.725</v>
      </c>
      <c r="F120" s="503">
        <f>D120*E120</f>
        <v>0.033525</v>
      </c>
      <c r="G120" s="364" t="s">
        <v>1329</v>
      </c>
    </row>
    <row r="121" spans="1:7" ht="12.75">
      <c r="A121" s="412" t="s">
        <v>967</v>
      </c>
      <c r="B121" s="524" t="s">
        <v>562</v>
      </c>
      <c r="C121" s="500" t="s">
        <v>34</v>
      </c>
      <c r="D121" s="523">
        <v>0.115</v>
      </c>
      <c r="E121" s="502">
        <f>1.25*14.71</f>
        <v>18.387500000000003</v>
      </c>
      <c r="F121" s="503">
        <f>D121*E121</f>
        <v>2.1145625000000003</v>
      </c>
      <c r="G121" s="364" t="s">
        <v>1220</v>
      </c>
    </row>
    <row r="122" spans="1:7" ht="12.75">
      <c r="A122" s="412" t="s">
        <v>968</v>
      </c>
      <c r="B122" s="524" t="s">
        <v>380</v>
      </c>
      <c r="C122" s="500" t="s">
        <v>43</v>
      </c>
      <c r="D122" s="523">
        <v>0.115</v>
      </c>
      <c r="E122" s="502">
        <f>1.25*19.67</f>
        <v>24.587500000000002</v>
      </c>
      <c r="F122" s="503">
        <f>D122*E122</f>
        <v>2.8275625000000004</v>
      </c>
      <c r="G122" s="364" t="s">
        <v>1296</v>
      </c>
    </row>
    <row r="123" spans="2:6" ht="15">
      <c r="B123" s="522"/>
      <c r="E123" s="415" t="s">
        <v>31</v>
      </c>
      <c r="F123" s="503">
        <f>SUM(F119:F122)</f>
        <v>40.52689999999999</v>
      </c>
    </row>
    <row r="124" spans="1:7" ht="12.75">
      <c r="A124" s="360" t="s">
        <v>928</v>
      </c>
      <c r="B124" s="525" t="s">
        <v>611</v>
      </c>
      <c r="C124" s="59" t="s">
        <v>5</v>
      </c>
      <c r="D124" s="60" t="s">
        <v>6</v>
      </c>
      <c r="E124" s="61" t="s">
        <v>29</v>
      </c>
      <c r="F124" s="61" t="s">
        <v>8</v>
      </c>
      <c r="G124" s="62" t="s">
        <v>30</v>
      </c>
    </row>
    <row r="125" spans="1:7" ht="12.75">
      <c r="A125" s="412" t="s">
        <v>969</v>
      </c>
      <c r="B125" s="524" t="s">
        <v>611</v>
      </c>
      <c r="C125" s="500" t="s">
        <v>44</v>
      </c>
      <c r="D125" s="523">
        <v>1.19</v>
      </c>
      <c r="E125" s="502">
        <f>1.25*23.9</f>
        <v>29.875</v>
      </c>
      <c r="F125" s="503">
        <f>D125*E125</f>
        <v>35.551249999999996</v>
      </c>
      <c r="G125" s="364" t="s">
        <v>1328</v>
      </c>
    </row>
    <row r="126" spans="1:7" ht="12.75">
      <c r="A126" s="412" t="s">
        <v>970</v>
      </c>
      <c r="B126" s="524" t="s">
        <v>611</v>
      </c>
      <c r="C126" s="500" t="s">
        <v>40</v>
      </c>
      <c r="D126" s="523">
        <v>0.009</v>
      </c>
      <c r="E126" s="502">
        <f>1.25*2.98</f>
        <v>3.725</v>
      </c>
      <c r="F126" s="503">
        <f>D126*E126</f>
        <v>0.033525</v>
      </c>
      <c r="G126" s="364" t="s">
        <v>1329</v>
      </c>
    </row>
    <row r="127" spans="1:7" ht="12.75">
      <c r="A127" s="412" t="s">
        <v>971</v>
      </c>
      <c r="B127" s="524" t="s">
        <v>562</v>
      </c>
      <c r="C127" s="500" t="s">
        <v>34</v>
      </c>
      <c r="D127" s="523">
        <v>0.115</v>
      </c>
      <c r="E127" s="502">
        <f>1.25*14.71</f>
        <v>18.387500000000003</v>
      </c>
      <c r="F127" s="503">
        <f>D127*E127</f>
        <v>2.1145625000000003</v>
      </c>
      <c r="G127" s="364" t="s">
        <v>1220</v>
      </c>
    </row>
    <row r="128" spans="1:7" ht="12.75">
      <c r="A128" s="412" t="s">
        <v>972</v>
      </c>
      <c r="B128" s="524" t="s">
        <v>380</v>
      </c>
      <c r="C128" s="500" t="s">
        <v>34</v>
      </c>
      <c r="D128" s="523">
        <v>0.115</v>
      </c>
      <c r="E128" s="502">
        <f>1.25*19.67</f>
        <v>24.587500000000002</v>
      </c>
      <c r="F128" s="503">
        <f>D128*E128</f>
        <v>2.8275625000000004</v>
      </c>
      <c r="G128" s="364" t="s">
        <v>1296</v>
      </c>
    </row>
    <row r="129" spans="2:6" ht="15">
      <c r="B129" s="522"/>
      <c r="E129" s="415" t="s">
        <v>31</v>
      </c>
      <c r="F129" s="503">
        <f>SUM(F125:F128)</f>
        <v>40.52689999999999</v>
      </c>
    </row>
    <row r="130" spans="1:7" ht="12.75">
      <c r="A130" s="360" t="s">
        <v>929</v>
      </c>
      <c r="B130" s="525" t="s">
        <v>612</v>
      </c>
      <c r="C130" s="59" t="s">
        <v>5</v>
      </c>
      <c r="D130" s="60" t="s">
        <v>6</v>
      </c>
      <c r="E130" s="61" t="s">
        <v>29</v>
      </c>
      <c r="F130" s="61" t="s">
        <v>8</v>
      </c>
      <c r="G130" s="62" t="s">
        <v>30</v>
      </c>
    </row>
    <row r="131" spans="1:7" ht="12.75">
      <c r="A131" s="412" t="s">
        <v>973</v>
      </c>
      <c r="B131" s="524" t="s">
        <v>612</v>
      </c>
      <c r="C131" s="500" t="s">
        <v>44</v>
      </c>
      <c r="D131" s="523">
        <v>1.19</v>
      </c>
      <c r="E131" s="502">
        <f>1.25*19.76</f>
        <v>24.700000000000003</v>
      </c>
      <c r="F131" s="503">
        <f>D131*E131</f>
        <v>29.393</v>
      </c>
      <c r="G131" s="364" t="s">
        <v>1330</v>
      </c>
    </row>
    <row r="132" spans="1:7" ht="12.75">
      <c r="A132" s="412" t="s">
        <v>974</v>
      </c>
      <c r="B132" s="524" t="s">
        <v>615</v>
      </c>
      <c r="C132" s="500" t="s">
        <v>40</v>
      </c>
      <c r="D132" s="523">
        <v>0.009</v>
      </c>
      <c r="E132" s="502">
        <f>1.25*2.98</f>
        <v>3.725</v>
      </c>
      <c r="F132" s="503">
        <f>D132*E132</f>
        <v>0.033525</v>
      </c>
      <c r="G132" s="364" t="s">
        <v>1329</v>
      </c>
    </row>
    <row r="133" spans="1:7" ht="12.75">
      <c r="A133" s="412" t="s">
        <v>975</v>
      </c>
      <c r="B133" s="524" t="s">
        <v>562</v>
      </c>
      <c r="C133" s="500" t="s">
        <v>34</v>
      </c>
      <c r="D133" s="523">
        <v>0.115</v>
      </c>
      <c r="E133" s="502">
        <f>1.25*14.72</f>
        <v>18.400000000000002</v>
      </c>
      <c r="F133" s="503">
        <f>D133*E133</f>
        <v>2.1160000000000005</v>
      </c>
      <c r="G133" s="364" t="s">
        <v>1220</v>
      </c>
    </row>
    <row r="134" spans="1:7" ht="12.75">
      <c r="A134" s="412" t="s">
        <v>976</v>
      </c>
      <c r="B134" s="524" t="s">
        <v>380</v>
      </c>
      <c r="C134" s="500" t="s">
        <v>34</v>
      </c>
      <c r="D134" s="523">
        <v>0.115</v>
      </c>
      <c r="E134" s="502">
        <f>1.25*19.68</f>
        <v>24.6</v>
      </c>
      <c r="F134" s="503">
        <f>D134*E134</f>
        <v>2.829</v>
      </c>
      <c r="G134" s="364" t="s">
        <v>1296</v>
      </c>
    </row>
    <row r="135" spans="2:6" ht="15">
      <c r="B135" s="522"/>
      <c r="E135" s="415" t="s">
        <v>31</v>
      </c>
      <c r="F135" s="503">
        <f>SUM(F131:F134)</f>
        <v>34.371525</v>
      </c>
    </row>
    <row r="136" spans="1:7" ht="12.75">
      <c r="A136" s="360" t="s">
        <v>930</v>
      </c>
      <c r="B136" s="525" t="s">
        <v>613</v>
      </c>
      <c r="C136" s="59" t="s">
        <v>5</v>
      </c>
      <c r="D136" s="60" t="s">
        <v>6</v>
      </c>
      <c r="E136" s="61" t="s">
        <v>29</v>
      </c>
      <c r="F136" s="61" t="s">
        <v>8</v>
      </c>
      <c r="G136" s="62" t="s">
        <v>30</v>
      </c>
    </row>
    <row r="137" spans="1:7" ht="12.75">
      <c r="A137" s="412" t="s">
        <v>977</v>
      </c>
      <c r="B137" s="524" t="s">
        <v>613</v>
      </c>
      <c r="C137" s="500" t="s">
        <v>44</v>
      </c>
      <c r="D137" s="523">
        <v>1.19</v>
      </c>
      <c r="E137" s="502">
        <f>1.25*11.71</f>
        <v>14.637500000000001</v>
      </c>
      <c r="F137" s="503">
        <f>D137*E137</f>
        <v>17.418625000000002</v>
      </c>
      <c r="G137" s="364" t="s">
        <v>1331</v>
      </c>
    </row>
    <row r="138" spans="1:7" ht="12.75">
      <c r="A138" s="412" t="s">
        <v>978</v>
      </c>
      <c r="B138" s="524" t="s">
        <v>615</v>
      </c>
      <c r="C138" s="500" t="s">
        <v>40</v>
      </c>
      <c r="D138" s="523">
        <v>0.009</v>
      </c>
      <c r="E138" s="502">
        <f>1.25*2.98</f>
        <v>3.725</v>
      </c>
      <c r="F138" s="503">
        <f>D138*E138</f>
        <v>0.033525</v>
      </c>
      <c r="G138" s="364" t="s">
        <v>1329</v>
      </c>
    </row>
    <row r="139" spans="1:7" ht="12.75">
      <c r="A139" s="412" t="s">
        <v>979</v>
      </c>
      <c r="B139" s="524" t="s">
        <v>562</v>
      </c>
      <c r="C139" s="500" t="s">
        <v>34</v>
      </c>
      <c r="D139" s="523">
        <v>0.115</v>
      </c>
      <c r="E139" s="502">
        <f>1.25*14.72</f>
        <v>18.400000000000002</v>
      </c>
      <c r="F139" s="503">
        <f>D139*E139</f>
        <v>2.1160000000000005</v>
      </c>
      <c r="G139" s="364" t="s">
        <v>1220</v>
      </c>
    </row>
    <row r="140" spans="1:7" ht="12.75">
      <c r="A140" s="412" t="s">
        <v>980</v>
      </c>
      <c r="B140" s="524" t="s">
        <v>380</v>
      </c>
      <c r="C140" s="500" t="s">
        <v>34</v>
      </c>
      <c r="D140" s="523">
        <v>0.115</v>
      </c>
      <c r="E140" s="502">
        <f>1.25*19.68</f>
        <v>24.6</v>
      </c>
      <c r="F140" s="503">
        <f>D140*E140</f>
        <v>2.829</v>
      </c>
      <c r="G140" s="364" t="s">
        <v>1296</v>
      </c>
    </row>
    <row r="141" spans="2:6" ht="15">
      <c r="B141" s="522"/>
      <c r="E141" s="415" t="s">
        <v>31</v>
      </c>
      <c r="F141" s="503">
        <f>SUM(F137:F140)</f>
        <v>22.397150000000003</v>
      </c>
    </row>
    <row r="142" spans="1:7" ht="12.75">
      <c r="A142" s="360" t="s">
        <v>931</v>
      </c>
      <c r="B142" s="525" t="s">
        <v>614</v>
      </c>
      <c r="C142" s="59" t="s">
        <v>5</v>
      </c>
      <c r="D142" s="60" t="s">
        <v>6</v>
      </c>
      <c r="E142" s="61" t="s">
        <v>29</v>
      </c>
      <c r="F142" s="61" t="s">
        <v>8</v>
      </c>
      <c r="G142" s="62" t="s">
        <v>30</v>
      </c>
    </row>
    <row r="143" spans="1:7" ht="12.75">
      <c r="A143" s="412" t="s">
        <v>981</v>
      </c>
      <c r="B143" s="524" t="s">
        <v>614</v>
      </c>
      <c r="C143" s="500" t="s">
        <v>44</v>
      </c>
      <c r="D143" s="523">
        <v>1.19</v>
      </c>
      <c r="E143" s="502">
        <f>1.25*7.61</f>
        <v>9.512500000000001</v>
      </c>
      <c r="F143" s="503">
        <f>D143*E143</f>
        <v>11.319875000000001</v>
      </c>
      <c r="G143" s="364" t="s">
        <v>1332</v>
      </c>
    </row>
    <row r="144" spans="1:7" ht="12.75">
      <c r="A144" s="412" t="s">
        <v>982</v>
      </c>
      <c r="B144" s="524" t="s">
        <v>615</v>
      </c>
      <c r="C144" s="500" t="s">
        <v>40</v>
      </c>
      <c r="D144" s="523">
        <v>0.009</v>
      </c>
      <c r="E144" s="502">
        <f>1.25*2.98</f>
        <v>3.725</v>
      </c>
      <c r="F144" s="503">
        <f>D144*E144</f>
        <v>0.033525</v>
      </c>
      <c r="G144" s="364" t="s">
        <v>1329</v>
      </c>
    </row>
    <row r="145" spans="1:7" ht="12.75">
      <c r="A145" s="412" t="s">
        <v>983</v>
      </c>
      <c r="B145" s="361" t="s">
        <v>562</v>
      </c>
      <c r="C145" s="500" t="s">
        <v>34</v>
      </c>
      <c r="D145" s="523">
        <v>0.115</v>
      </c>
      <c r="E145" s="502">
        <f>1.25*14.72</f>
        <v>18.400000000000002</v>
      </c>
      <c r="F145" s="503">
        <f>D145*E145</f>
        <v>2.1160000000000005</v>
      </c>
      <c r="G145" s="364" t="s">
        <v>1220</v>
      </c>
    </row>
    <row r="146" spans="1:7" ht="12.75">
      <c r="A146" s="412" t="s">
        <v>984</v>
      </c>
      <c r="B146" s="361" t="s">
        <v>380</v>
      </c>
      <c r="C146" s="500" t="s">
        <v>34</v>
      </c>
      <c r="D146" s="523">
        <v>0.115</v>
      </c>
      <c r="E146" s="502">
        <f>1.25*19.68</f>
        <v>24.6</v>
      </c>
      <c r="F146" s="503">
        <f>D146*E146</f>
        <v>2.829</v>
      </c>
      <c r="G146" s="364" t="s">
        <v>1296</v>
      </c>
    </row>
    <row r="147" spans="1:7" ht="12.75">
      <c r="A147" s="412"/>
      <c r="B147" s="361"/>
      <c r="C147" s="500"/>
      <c r="D147" s="523"/>
      <c r="E147" s="415" t="s">
        <v>31</v>
      </c>
      <c r="F147" s="503">
        <f>SUM(F143:F146)</f>
        <v>16.2984</v>
      </c>
      <c r="G147" s="156"/>
    </row>
    <row r="148" spans="1:7" ht="12.75">
      <c r="A148" s="360" t="s">
        <v>932</v>
      </c>
      <c r="B148" s="525" t="s">
        <v>1569</v>
      </c>
      <c r="C148" s="59" t="s">
        <v>35</v>
      </c>
      <c r="D148" s="60" t="s">
        <v>6</v>
      </c>
      <c r="E148" s="61" t="s">
        <v>29</v>
      </c>
      <c r="F148" s="61" t="s">
        <v>8</v>
      </c>
      <c r="G148" s="62" t="s">
        <v>30</v>
      </c>
    </row>
    <row r="149" spans="1:7" ht="12.75">
      <c r="A149" s="73" t="s">
        <v>985</v>
      </c>
      <c r="B149" s="55" t="s">
        <v>667</v>
      </c>
      <c r="C149" s="70" t="s">
        <v>41</v>
      </c>
      <c r="D149" s="526">
        <f>1/5.3</f>
        <v>0.18867924528301888</v>
      </c>
      <c r="E149" s="502">
        <f>1.25*6.63</f>
        <v>8.2875</v>
      </c>
      <c r="F149" s="66">
        <f>D149*E149</f>
        <v>1.5636792452830188</v>
      </c>
      <c r="G149" s="70" t="s">
        <v>1333</v>
      </c>
    </row>
    <row r="150" spans="1:7" ht="25.5">
      <c r="A150" s="73" t="s">
        <v>986</v>
      </c>
      <c r="B150" s="55" t="s">
        <v>626</v>
      </c>
      <c r="C150" s="70" t="s">
        <v>44</v>
      </c>
      <c r="D150" s="526">
        <v>1</v>
      </c>
      <c r="E150" s="502">
        <f>1.25*6.31</f>
        <v>7.887499999999999</v>
      </c>
      <c r="F150" s="66">
        <f>D150*E150</f>
        <v>7.887499999999999</v>
      </c>
      <c r="G150" s="70" t="s">
        <v>1334</v>
      </c>
    </row>
    <row r="151" spans="1:7" ht="12.75">
      <c r="A151" s="73" t="s">
        <v>987</v>
      </c>
      <c r="B151" s="55" t="s">
        <v>351</v>
      </c>
      <c r="C151" s="70" t="s">
        <v>34</v>
      </c>
      <c r="D151" s="526">
        <v>0.1</v>
      </c>
      <c r="E151" s="502">
        <f>1.25*19.34</f>
        <v>24.175</v>
      </c>
      <c r="F151" s="66">
        <f>D151*E151</f>
        <v>2.4175000000000004</v>
      </c>
      <c r="G151" s="70" t="s">
        <v>1150</v>
      </c>
    </row>
    <row r="152" spans="1:7" ht="12.75">
      <c r="A152" s="73" t="s">
        <v>988</v>
      </c>
      <c r="B152" s="55" t="s">
        <v>627</v>
      </c>
      <c r="C152" s="70" t="s">
        <v>34</v>
      </c>
      <c r="D152" s="526">
        <v>0.1</v>
      </c>
      <c r="E152" s="502">
        <f>1.25*15.22</f>
        <v>19.025000000000002</v>
      </c>
      <c r="F152" s="66">
        <f>D152*E152</f>
        <v>1.9025000000000003</v>
      </c>
      <c r="G152" s="70" t="s">
        <v>1163</v>
      </c>
    </row>
    <row r="153" spans="1:7" ht="12.75">
      <c r="A153" s="73"/>
      <c r="B153" s="55"/>
      <c r="C153" s="70"/>
      <c r="D153" s="345"/>
      <c r="E153" s="527" t="s">
        <v>31</v>
      </c>
      <c r="F153" s="66">
        <f>SUM(F149:F152)</f>
        <v>13.771179245283019</v>
      </c>
      <c r="G153" s="70"/>
    </row>
    <row r="154" spans="1:7" ht="12.75">
      <c r="A154" s="360" t="s">
        <v>933</v>
      </c>
      <c r="B154" s="421" t="s">
        <v>265</v>
      </c>
      <c r="C154" s="59" t="s">
        <v>35</v>
      </c>
      <c r="D154" s="60" t="s">
        <v>6</v>
      </c>
      <c r="E154" s="61" t="s">
        <v>29</v>
      </c>
      <c r="F154" s="61" t="s">
        <v>8</v>
      </c>
      <c r="G154" s="62" t="s">
        <v>30</v>
      </c>
    </row>
    <row r="155" spans="1:7" ht="12.75">
      <c r="A155" s="73" t="s">
        <v>989</v>
      </c>
      <c r="B155" s="55" t="s">
        <v>265</v>
      </c>
      <c r="C155" s="70" t="s">
        <v>44</v>
      </c>
      <c r="D155" s="526">
        <v>1.1</v>
      </c>
      <c r="E155" s="502">
        <f>1.25*13.2</f>
        <v>16.5</v>
      </c>
      <c r="F155" s="66">
        <f>D155*E155</f>
        <v>18.150000000000002</v>
      </c>
      <c r="G155" s="70" t="s">
        <v>1335</v>
      </c>
    </row>
    <row r="156" spans="1:7" ht="38.25">
      <c r="A156" s="73" t="s">
        <v>990</v>
      </c>
      <c r="B156" s="55" t="s">
        <v>616</v>
      </c>
      <c r="C156" s="70" t="s">
        <v>44</v>
      </c>
      <c r="D156" s="526">
        <v>1</v>
      </c>
      <c r="E156" s="502">
        <f>1.25*0.91</f>
        <v>1.1375</v>
      </c>
      <c r="F156" s="66">
        <f>D156*E156</f>
        <v>1.1375</v>
      </c>
      <c r="G156" s="70" t="s">
        <v>1336</v>
      </c>
    </row>
    <row r="157" spans="1:7" ht="12.75">
      <c r="A157" s="73" t="s">
        <v>991</v>
      </c>
      <c r="B157" s="55" t="s">
        <v>617</v>
      </c>
      <c r="C157" s="70" t="s">
        <v>34</v>
      </c>
      <c r="D157" s="526">
        <v>0.1615</v>
      </c>
      <c r="E157" s="502">
        <f>1.25*14.71</f>
        <v>18.387500000000003</v>
      </c>
      <c r="F157" s="66">
        <f>D157*E157</f>
        <v>2.9695812500000005</v>
      </c>
      <c r="G157" s="70" t="s">
        <v>1220</v>
      </c>
    </row>
    <row r="158" spans="1:7" ht="12.75">
      <c r="A158" s="73" t="s">
        <v>992</v>
      </c>
      <c r="B158" s="413" t="s">
        <v>380</v>
      </c>
      <c r="C158" s="70" t="s">
        <v>34</v>
      </c>
      <c r="D158" s="526">
        <v>0.1615</v>
      </c>
      <c r="E158" s="502">
        <f>1.25*19.67</f>
        <v>24.587500000000002</v>
      </c>
      <c r="F158" s="66">
        <f>D158*E158</f>
        <v>3.9708812500000006</v>
      </c>
      <c r="G158" s="70" t="s">
        <v>1296</v>
      </c>
    </row>
    <row r="159" spans="1:7" ht="12.75">
      <c r="A159" s="73"/>
      <c r="B159" s="55"/>
      <c r="C159" s="70"/>
      <c r="D159" s="345"/>
      <c r="E159" s="527" t="s">
        <v>31</v>
      </c>
      <c r="F159" s="66">
        <f>SUM(F155:F158)</f>
        <v>26.227962500000004</v>
      </c>
      <c r="G159" s="70"/>
    </row>
    <row r="160" spans="1:7" ht="12.75">
      <c r="A160" s="360" t="s">
        <v>934</v>
      </c>
      <c r="B160" s="421" t="s">
        <v>266</v>
      </c>
      <c r="C160" s="59" t="s">
        <v>35</v>
      </c>
      <c r="D160" s="60" t="s">
        <v>6</v>
      </c>
      <c r="E160" s="61" t="s">
        <v>29</v>
      </c>
      <c r="F160" s="61" t="s">
        <v>8</v>
      </c>
      <c r="G160" s="62" t="s">
        <v>30</v>
      </c>
    </row>
    <row r="161" spans="1:7" ht="12.75">
      <c r="A161" s="73" t="s">
        <v>993</v>
      </c>
      <c r="B161" s="55" t="s">
        <v>266</v>
      </c>
      <c r="C161" s="70" t="s">
        <v>44</v>
      </c>
      <c r="D161" s="526">
        <v>1.1</v>
      </c>
      <c r="E161" s="502">
        <f>1.25*13.41</f>
        <v>16.7625</v>
      </c>
      <c r="F161" s="66">
        <f>D161*E161</f>
        <v>18.438750000000002</v>
      </c>
      <c r="G161" s="70" t="s">
        <v>1337</v>
      </c>
    </row>
    <row r="162" spans="1:7" ht="38.25">
      <c r="A162" s="73" t="s">
        <v>994</v>
      </c>
      <c r="B162" s="55" t="s">
        <v>616</v>
      </c>
      <c r="C162" s="70" t="s">
        <v>44</v>
      </c>
      <c r="D162" s="526">
        <v>1</v>
      </c>
      <c r="E162" s="502">
        <f>1.25*0.91</f>
        <v>1.1375</v>
      </c>
      <c r="F162" s="66">
        <f>D162*E162</f>
        <v>1.1375</v>
      </c>
      <c r="G162" s="70" t="s">
        <v>1336</v>
      </c>
    </row>
    <row r="163" spans="1:7" ht="12.75">
      <c r="A163" s="73" t="s">
        <v>995</v>
      </c>
      <c r="B163" s="55" t="s">
        <v>617</v>
      </c>
      <c r="C163" s="70" t="s">
        <v>34</v>
      </c>
      <c r="D163" s="526">
        <v>0.1615</v>
      </c>
      <c r="E163" s="502">
        <f>1.25*14.71</f>
        <v>18.387500000000003</v>
      </c>
      <c r="F163" s="66">
        <f>D163*E163</f>
        <v>2.9695812500000005</v>
      </c>
      <c r="G163" s="70" t="s">
        <v>1220</v>
      </c>
    </row>
    <row r="164" spans="1:7" ht="12.75">
      <c r="A164" s="73" t="s">
        <v>996</v>
      </c>
      <c r="B164" s="413" t="s">
        <v>380</v>
      </c>
      <c r="C164" s="70" t="s">
        <v>34</v>
      </c>
      <c r="D164" s="526">
        <v>0.1615</v>
      </c>
      <c r="E164" s="502">
        <f>1.25*19.67</f>
        <v>24.587500000000002</v>
      </c>
      <c r="F164" s="66">
        <f>D164*E164</f>
        <v>3.9708812500000006</v>
      </c>
      <c r="G164" s="70" t="s">
        <v>1296</v>
      </c>
    </row>
    <row r="165" spans="1:7" ht="12.75">
      <c r="A165" s="73"/>
      <c r="B165" s="55"/>
      <c r="C165" s="70"/>
      <c r="D165" s="345"/>
      <c r="E165" s="527" t="s">
        <v>31</v>
      </c>
      <c r="F165" s="66">
        <f>SUM(F161:F164)</f>
        <v>26.516712500000004</v>
      </c>
      <c r="G165" s="70"/>
    </row>
    <row r="166" spans="1:7" ht="12.75">
      <c r="A166" s="360" t="s">
        <v>935</v>
      </c>
      <c r="B166" s="421" t="s">
        <v>267</v>
      </c>
      <c r="C166" s="59" t="s">
        <v>35</v>
      </c>
      <c r="D166" s="60" t="s">
        <v>6</v>
      </c>
      <c r="E166" s="61" t="s">
        <v>29</v>
      </c>
      <c r="F166" s="61" t="s">
        <v>8</v>
      </c>
      <c r="G166" s="62" t="s">
        <v>30</v>
      </c>
    </row>
    <row r="167" spans="1:7" ht="12.75">
      <c r="A167" s="73" t="s">
        <v>997</v>
      </c>
      <c r="B167" s="55" t="s">
        <v>267</v>
      </c>
      <c r="C167" s="70" t="s">
        <v>44</v>
      </c>
      <c r="D167" s="526">
        <v>1.1</v>
      </c>
      <c r="E167" s="502">
        <f>1.25*6.86</f>
        <v>8.575000000000001</v>
      </c>
      <c r="F167" s="66">
        <f>D167*E167</f>
        <v>9.432500000000003</v>
      </c>
      <c r="G167" s="70" t="s">
        <v>1338</v>
      </c>
    </row>
    <row r="168" spans="1:7" ht="38.25">
      <c r="A168" s="73" t="s">
        <v>998</v>
      </c>
      <c r="B168" s="55" t="s">
        <v>616</v>
      </c>
      <c r="C168" s="70" t="s">
        <v>44</v>
      </c>
      <c r="D168" s="526">
        <v>1</v>
      </c>
      <c r="E168" s="502">
        <f>1.25*0.91</f>
        <v>1.1375</v>
      </c>
      <c r="F168" s="66">
        <f>D168*E168</f>
        <v>1.1375</v>
      </c>
      <c r="G168" s="70" t="s">
        <v>1336</v>
      </c>
    </row>
    <row r="169" spans="1:7" ht="12.75">
      <c r="A169" s="73" t="s">
        <v>999</v>
      </c>
      <c r="B169" s="55" t="s">
        <v>617</v>
      </c>
      <c r="C169" s="70" t="s">
        <v>34</v>
      </c>
      <c r="D169" s="526">
        <v>0.1615</v>
      </c>
      <c r="E169" s="502">
        <f>1.25*14.71</f>
        <v>18.387500000000003</v>
      </c>
      <c r="F169" s="66">
        <f>D169*E169</f>
        <v>2.9695812500000005</v>
      </c>
      <c r="G169" s="70" t="s">
        <v>1220</v>
      </c>
    </row>
    <row r="170" spans="1:7" ht="12.75">
      <c r="A170" s="73" t="s">
        <v>1000</v>
      </c>
      <c r="B170" s="413" t="s">
        <v>380</v>
      </c>
      <c r="C170" s="70" t="s">
        <v>34</v>
      </c>
      <c r="D170" s="526">
        <v>0.1615</v>
      </c>
      <c r="E170" s="502">
        <f>1.25*19.67</f>
        <v>24.587500000000002</v>
      </c>
      <c r="F170" s="66">
        <f>D170*E170</f>
        <v>3.9708812500000006</v>
      </c>
      <c r="G170" s="70" t="s">
        <v>1296</v>
      </c>
    </row>
    <row r="171" spans="1:7" ht="12.75">
      <c r="A171" s="73"/>
      <c r="B171" s="55"/>
      <c r="C171" s="70"/>
      <c r="D171" s="345"/>
      <c r="E171" s="527" t="s">
        <v>31</v>
      </c>
      <c r="F171" s="66">
        <f>SUM(F167:F170)</f>
        <v>17.510462500000003</v>
      </c>
      <c r="G171" s="70"/>
    </row>
    <row r="172" spans="1:7" ht="12.75">
      <c r="A172" s="360" t="s">
        <v>936</v>
      </c>
      <c r="B172" s="421" t="s">
        <v>268</v>
      </c>
      <c r="C172" s="59" t="s">
        <v>35</v>
      </c>
      <c r="D172" s="60" t="s">
        <v>6</v>
      </c>
      <c r="E172" s="61" t="s">
        <v>29</v>
      </c>
      <c r="F172" s="61" t="s">
        <v>8</v>
      </c>
      <c r="G172" s="62" t="s">
        <v>30</v>
      </c>
    </row>
    <row r="173" spans="1:7" ht="12.75">
      <c r="A173" s="73" t="s">
        <v>1001</v>
      </c>
      <c r="B173" s="55" t="s">
        <v>268</v>
      </c>
      <c r="C173" s="70" t="s">
        <v>44</v>
      </c>
      <c r="D173" s="526">
        <v>1.1</v>
      </c>
      <c r="E173" s="502">
        <f>1.25*5.31</f>
        <v>6.637499999999999</v>
      </c>
      <c r="F173" s="66">
        <f>D173*E173</f>
        <v>7.30125</v>
      </c>
      <c r="G173" s="70" t="s">
        <v>1339</v>
      </c>
    </row>
    <row r="174" spans="1:7" ht="38.25">
      <c r="A174" s="73" t="s">
        <v>1002</v>
      </c>
      <c r="B174" s="55" t="s">
        <v>616</v>
      </c>
      <c r="C174" s="70" t="s">
        <v>44</v>
      </c>
      <c r="D174" s="526">
        <v>1</v>
      </c>
      <c r="E174" s="502">
        <f>1.25*0.91</f>
        <v>1.1375</v>
      </c>
      <c r="F174" s="66">
        <f>D174*E174</f>
        <v>1.1375</v>
      </c>
      <c r="G174" s="70" t="s">
        <v>1336</v>
      </c>
    </row>
    <row r="175" spans="1:7" ht="12.75">
      <c r="A175" s="73" t="s">
        <v>1003</v>
      </c>
      <c r="B175" s="55" t="s">
        <v>617</v>
      </c>
      <c r="C175" s="70" t="s">
        <v>34</v>
      </c>
      <c r="D175" s="526">
        <v>0.1615</v>
      </c>
      <c r="E175" s="502">
        <f>1.25*14.71</f>
        <v>18.387500000000003</v>
      </c>
      <c r="F175" s="66">
        <f>D175*E175</f>
        <v>2.9695812500000005</v>
      </c>
      <c r="G175" s="70" t="s">
        <v>1220</v>
      </c>
    </row>
    <row r="176" spans="1:7" ht="12.75">
      <c r="A176" s="73" t="s">
        <v>1004</v>
      </c>
      <c r="B176" s="413" t="s">
        <v>380</v>
      </c>
      <c r="C176" s="70" t="s">
        <v>34</v>
      </c>
      <c r="D176" s="526">
        <v>0.1615</v>
      </c>
      <c r="E176" s="502">
        <f>1.25*19.67</f>
        <v>24.587500000000002</v>
      </c>
      <c r="F176" s="66">
        <f>D176*E176</f>
        <v>3.9708812500000006</v>
      </c>
      <c r="G176" s="70" t="s">
        <v>1296</v>
      </c>
    </row>
    <row r="177" spans="1:7" ht="12.75">
      <c r="A177" s="73"/>
      <c r="B177" s="55"/>
      <c r="C177" s="70"/>
      <c r="D177" s="345"/>
      <c r="E177" s="527" t="s">
        <v>31</v>
      </c>
      <c r="F177" s="66">
        <f>SUM(F173:F176)</f>
        <v>15.379212500000001</v>
      </c>
      <c r="G177" s="70"/>
    </row>
    <row r="178" spans="1:7" ht="12.75">
      <c r="A178" s="360" t="s">
        <v>939</v>
      </c>
      <c r="B178" s="421" t="s">
        <v>271</v>
      </c>
      <c r="C178" s="59" t="s">
        <v>35</v>
      </c>
      <c r="D178" s="60" t="s">
        <v>6</v>
      </c>
      <c r="E178" s="61" t="s">
        <v>29</v>
      </c>
      <c r="F178" s="61" t="s">
        <v>8</v>
      </c>
      <c r="G178" s="62" t="s">
        <v>30</v>
      </c>
    </row>
    <row r="179" spans="1:7" ht="12.75">
      <c r="A179" s="412" t="s">
        <v>1005</v>
      </c>
      <c r="B179" s="55" t="s">
        <v>271</v>
      </c>
      <c r="C179" s="70" t="s">
        <v>44</v>
      </c>
      <c r="D179" s="526">
        <v>1.017</v>
      </c>
      <c r="E179" s="502">
        <f>1.25*119.79/3</f>
        <v>49.9125</v>
      </c>
      <c r="F179" s="66">
        <f>D179*E179</f>
        <v>50.7610125</v>
      </c>
      <c r="G179" s="70" t="s">
        <v>45</v>
      </c>
    </row>
    <row r="180" spans="1:7" ht="12.75">
      <c r="A180" s="412" t="s">
        <v>1006</v>
      </c>
      <c r="B180" s="55" t="s">
        <v>617</v>
      </c>
      <c r="C180" s="70" t="s">
        <v>34</v>
      </c>
      <c r="D180" s="526">
        <v>0.164</v>
      </c>
      <c r="E180" s="502">
        <f>1.25*14.71</f>
        <v>18.387500000000003</v>
      </c>
      <c r="F180" s="66">
        <f>D180*E180</f>
        <v>3.0155500000000006</v>
      </c>
      <c r="G180" s="70" t="s">
        <v>1220</v>
      </c>
    </row>
    <row r="181" spans="1:7" ht="12.75">
      <c r="A181" s="412" t="s">
        <v>1007</v>
      </c>
      <c r="B181" s="413" t="s">
        <v>380</v>
      </c>
      <c r="C181" s="70" t="s">
        <v>34</v>
      </c>
      <c r="D181" s="526">
        <v>0.164</v>
      </c>
      <c r="E181" s="502">
        <f>1.25*19.67</f>
        <v>24.587500000000002</v>
      </c>
      <c r="F181" s="66">
        <f>D181*E181</f>
        <v>4.03235</v>
      </c>
      <c r="G181" s="70" t="s">
        <v>1296</v>
      </c>
    </row>
    <row r="182" spans="5:6" ht="15">
      <c r="E182" s="527" t="s">
        <v>31</v>
      </c>
      <c r="F182" s="66">
        <f>SUM(F179:F181)</f>
        <v>57.8089125</v>
      </c>
    </row>
    <row r="183" spans="1:7" ht="12.75">
      <c r="A183" s="360" t="s">
        <v>940</v>
      </c>
      <c r="B183" s="421" t="s">
        <v>600</v>
      </c>
      <c r="C183" s="59" t="s">
        <v>5</v>
      </c>
      <c r="D183" s="60" t="s">
        <v>6</v>
      </c>
      <c r="E183" s="61" t="s">
        <v>29</v>
      </c>
      <c r="F183" s="61" t="s">
        <v>8</v>
      </c>
      <c r="G183" s="62" t="s">
        <v>30</v>
      </c>
    </row>
    <row r="184" spans="1:7" ht="12.75">
      <c r="A184" s="499" t="s">
        <v>1008</v>
      </c>
      <c r="B184" s="361" t="s">
        <v>600</v>
      </c>
      <c r="C184" s="500" t="s">
        <v>11</v>
      </c>
      <c r="D184" s="526">
        <v>1</v>
      </c>
      <c r="E184" s="502">
        <f>1.25*173.2</f>
        <v>216.5</v>
      </c>
      <c r="F184" s="503">
        <f>D184*E184</f>
        <v>216.5</v>
      </c>
      <c r="G184" s="364" t="s">
        <v>45</v>
      </c>
    </row>
    <row r="185" spans="1:7" ht="12.75">
      <c r="A185" s="499" t="s">
        <v>1009</v>
      </c>
      <c r="B185" s="361" t="s">
        <v>380</v>
      </c>
      <c r="C185" s="500" t="s">
        <v>34</v>
      </c>
      <c r="D185" s="526">
        <v>0.75</v>
      </c>
      <c r="E185" s="502">
        <f>1.25*19.67</f>
        <v>24.587500000000002</v>
      </c>
      <c r="F185" s="503">
        <f>D185*E185</f>
        <v>18.440625</v>
      </c>
      <c r="G185" s="364" t="s">
        <v>1296</v>
      </c>
    </row>
    <row r="186" spans="1:7" ht="12.75">
      <c r="A186" s="499" t="s">
        <v>1010</v>
      </c>
      <c r="B186" s="361" t="s">
        <v>562</v>
      </c>
      <c r="C186" s="500" t="s">
        <v>34</v>
      </c>
      <c r="D186" s="526">
        <v>0.75</v>
      </c>
      <c r="E186" s="502">
        <f>1.25*14.71</f>
        <v>18.387500000000003</v>
      </c>
      <c r="F186" s="503">
        <f>D186*E186</f>
        <v>13.790625000000002</v>
      </c>
      <c r="G186" s="364" t="s">
        <v>1220</v>
      </c>
    </row>
    <row r="187" spans="1:7" ht="12.75">
      <c r="A187"/>
      <c r="D187" s="7"/>
      <c r="E187" s="412" t="s">
        <v>31</v>
      </c>
      <c r="F187" s="503">
        <f>SUM(F184:F186)</f>
        <v>248.73125000000002</v>
      </c>
      <c r="G187"/>
    </row>
    <row r="188" spans="1:7" ht="12.75">
      <c r="A188" s="360" t="s">
        <v>941</v>
      </c>
      <c r="B188" s="421" t="s">
        <v>272</v>
      </c>
      <c r="C188" s="59" t="s">
        <v>5</v>
      </c>
      <c r="D188" s="60" t="s">
        <v>6</v>
      </c>
      <c r="E188" s="61" t="s">
        <v>29</v>
      </c>
      <c r="F188" s="61" t="s">
        <v>8</v>
      </c>
      <c r="G188" s="62" t="s">
        <v>30</v>
      </c>
    </row>
    <row r="189" spans="1:7" ht="12.75">
      <c r="A189" s="499" t="s">
        <v>1011</v>
      </c>
      <c r="B189" s="361" t="s">
        <v>272</v>
      </c>
      <c r="C189" s="500" t="s">
        <v>11</v>
      </c>
      <c r="D189" s="526">
        <v>1</v>
      </c>
      <c r="E189" s="502">
        <f>1.25*383.44/3</f>
        <v>159.76666666666668</v>
      </c>
      <c r="F189" s="503">
        <f>D189*E189</f>
        <v>159.76666666666668</v>
      </c>
      <c r="G189" s="364" t="s">
        <v>45</v>
      </c>
    </row>
    <row r="190" spans="1:7" ht="12.75">
      <c r="A190" s="499" t="s">
        <v>1012</v>
      </c>
      <c r="B190" s="361" t="s">
        <v>380</v>
      </c>
      <c r="C190" s="500" t="s">
        <v>34</v>
      </c>
      <c r="D190" s="526">
        <v>0.75</v>
      </c>
      <c r="E190" s="502">
        <f>1.25*19.67</f>
        <v>24.587500000000002</v>
      </c>
      <c r="F190" s="503">
        <f>D190*E190</f>
        <v>18.440625</v>
      </c>
      <c r="G190" s="364" t="s">
        <v>1296</v>
      </c>
    </row>
    <row r="191" spans="1:7" ht="12.75">
      <c r="A191" s="499" t="s">
        <v>1013</v>
      </c>
      <c r="B191" s="361" t="s">
        <v>562</v>
      </c>
      <c r="C191" s="500" t="s">
        <v>34</v>
      </c>
      <c r="D191" s="526">
        <v>0.75</v>
      </c>
      <c r="E191" s="502">
        <f>1.25*14.71</f>
        <v>18.387500000000003</v>
      </c>
      <c r="F191" s="503">
        <f>D191*E191</f>
        <v>13.790625000000002</v>
      </c>
      <c r="G191" s="364" t="s">
        <v>1220</v>
      </c>
    </row>
    <row r="192" spans="1:7" ht="12.75">
      <c r="A192"/>
      <c r="D192" s="7"/>
      <c r="E192" s="412" t="s">
        <v>31</v>
      </c>
      <c r="F192" s="503">
        <f>SUM(F189:F191)</f>
        <v>191.9979166666667</v>
      </c>
      <c r="G192"/>
    </row>
    <row r="193" spans="1:7" ht="25.5">
      <c r="A193" s="360" t="s">
        <v>942</v>
      </c>
      <c r="B193" s="421" t="s">
        <v>273</v>
      </c>
      <c r="C193" s="59" t="s">
        <v>5</v>
      </c>
      <c r="D193" s="60" t="s">
        <v>6</v>
      </c>
      <c r="E193" s="61" t="s">
        <v>29</v>
      </c>
      <c r="F193" s="61" t="s">
        <v>8</v>
      </c>
      <c r="G193" s="62" t="s">
        <v>30</v>
      </c>
    </row>
    <row r="194" spans="1:7" ht="12.75">
      <c r="A194" s="412" t="s">
        <v>943</v>
      </c>
      <c r="B194" s="361" t="s">
        <v>665</v>
      </c>
      <c r="C194" s="500" t="s">
        <v>40</v>
      </c>
      <c r="D194" s="526">
        <v>1</v>
      </c>
      <c r="E194" s="502">
        <f>1.25*3.12</f>
        <v>3.9000000000000004</v>
      </c>
      <c r="F194" s="503">
        <f aca="true" t="shared" si="4" ref="F194:F199">D194*E194</f>
        <v>3.9000000000000004</v>
      </c>
      <c r="G194" s="364" t="s">
        <v>1340</v>
      </c>
    </row>
    <row r="195" spans="1:7" ht="25.5">
      <c r="A195" s="412" t="s">
        <v>1014</v>
      </c>
      <c r="B195" s="361" t="s">
        <v>624</v>
      </c>
      <c r="C195" s="500" t="s">
        <v>44</v>
      </c>
      <c r="D195" s="526">
        <v>5</v>
      </c>
      <c r="E195" s="502">
        <f>1.25*9.41</f>
        <v>11.7625</v>
      </c>
      <c r="F195" s="503">
        <f t="shared" si="4"/>
        <v>58.8125</v>
      </c>
      <c r="G195" s="364" t="s">
        <v>1341</v>
      </c>
    </row>
    <row r="196" spans="1:7" ht="12.75">
      <c r="A196" s="412" t="s">
        <v>1015</v>
      </c>
      <c r="B196" s="361" t="s">
        <v>664</v>
      </c>
      <c r="C196" s="500" t="s">
        <v>44</v>
      </c>
      <c r="D196" s="526">
        <v>10</v>
      </c>
      <c r="E196" s="502">
        <f>1.25*5.86</f>
        <v>7.325</v>
      </c>
      <c r="F196" s="503">
        <f t="shared" si="4"/>
        <v>73.25</v>
      </c>
      <c r="G196" s="364" t="s">
        <v>1342</v>
      </c>
    </row>
    <row r="197" spans="1:7" ht="25.5">
      <c r="A197" s="412" t="s">
        <v>1016</v>
      </c>
      <c r="B197" s="361" t="s">
        <v>625</v>
      </c>
      <c r="C197" s="500" t="s">
        <v>44</v>
      </c>
      <c r="D197" s="526">
        <f>5*5.72</f>
        <v>28.599999999999998</v>
      </c>
      <c r="E197" s="502">
        <f>1.25*2.2</f>
        <v>2.75</v>
      </c>
      <c r="F197" s="503">
        <f t="shared" si="4"/>
        <v>78.64999999999999</v>
      </c>
      <c r="G197" s="364" t="s">
        <v>1205</v>
      </c>
    </row>
    <row r="198" spans="1:7" ht="12.75">
      <c r="A198" s="412" t="s">
        <v>1017</v>
      </c>
      <c r="B198" s="361" t="s">
        <v>672</v>
      </c>
      <c r="C198" s="500" t="s">
        <v>40</v>
      </c>
      <c r="D198" s="526">
        <v>0.375</v>
      </c>
      <c r="E198" s="502">
        <f>1.25*8.05</f>
        <v>10.0625</v>
      </c>
      <c r="F198" s="503">
        <f t="shared" si="4"/>
        <v>3.7734375</v>
      </c>
      <c r="G198" s="364" t="s">
        <v>1343</v>
      </c>
    </row>
    <row r="199" spans="1:7" ht="12.75">
      <c r="A199" s="412" t="s">
        <v>1018</v>
      </c>
      <c r="B199" s="361" t="s">
        <v>671</v>
      </c>
      <c r="C199" s="500" t="s">
        <v>40</v>
      </c>
      <c r="D199" s="526">
        <v>1</v>
      </c>
      <c r="E199" s="502">
        <f>1.25*10.53</f>
        <v>13.1625</v>
      </c>
      <c r="F199" s="503">
        <f t="shared" si="4"/>
        <v>13.1625</v>
      </c>
      <c r="G199" s="364" t="s">
        <v>1344</v>
      </c>
    </row>
    <row r="200" spans="1:7" ht="12.75">
      <c r="A200" s="412" t="s">
        <v>1019</v>
      </c>
      <c r="B200" s="532" t="s">
        <v>666</v>
      </c>
      <c r="C200" s="97" t="s">
        <v>11</v>
      </c>
      <c r="D200" s="162">
        <v>4</v>
      </c>
      <c r="E200" s="502">
        <f>1.25*18.14</f>
        <v>22.675</v>
      </c>
      <c r="F200" s="503">
        <f>D200*E200</f>
        <v>90.7</v>
      </c>
      <c r="G200" s="364" t="s">
        <v>1202</v>
      </c>
    </row>
    <row r="201" spans="1:6" ht="15">
      <c r="A201" s="106"/>
      <c r="B201" s="541"/>
      <c r="E201" s="412" t="s">
        <v>31</v>
      </c>
      <c r="F201" s="503">
        <f>SUM(F194:F200)</f>
        <v>322.2484375</v>
      </c>
    </row>
    <row r="202" spans="1:2" ht="15">
      <c r="A202" s="106"/>
      <c r="B202" s="107"/>
    </row>
  </sheetData>
  <sheetProtection password="E5F2" sheet="1" objects="1" scenarios="1" selectLockedCells="1" selectUnlockedCells="1"/>
  <mergeCells count="8">
    <mergeCell ref="A35:F35"/>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F39" sqref="F39"/>
    </sheetView>
  </sheetViews>
  <sheetFormatPr defaultColWidth="9.140625" defaultRowHeight="12.75"/>
  <cols>
    <col min="1" max="1" width="10.7109375" style="75" customWidth="1"/>
    <col min="2" max="2" width="60.7109375" style="6" customWidth="1"/>
    <col min="3" max="3" width="10.7109375" style="7" customWidth="1"/>
    <col min="4" max="4" width="10.7109375" style="268"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10" s="5" customFormat="1" ht="30" customHeight="1" thickBot="1">
      <c r="A7" s="16" t="s">
        <v>1</v>
      </c>
      <c r="B7" s="17" t="s">
        <v>4</v>
      </c>
      <c r="C7" s="18" t="s">
        <v>35</v>
      </c>
      <c r="D7" s="267" t="s">
        <v>6</v>
      </c>
      <c r="E7" s="27" t="s">
        <v>7</v>
      </c>
      <c r="F7" s="28" t="s">
        <v>8</v>
      </c>
      <c r="G7" s="89"/>
      <c r="H7" s="86"/>
      <c r="I7" s="86"/>
      <c r="J7" s="86"/>
    </row>
    <row r="8" spans="1:7" ht="30" customHeight="1" thickBot="1">
      <c r="A8" s="80">
        <v>17</v>
      </c>
      <c r="B8" s="80" t="str">
        <f>GERAL!B23</f>
        <v>SERVIÇOS COMPLEMENTARES</v>
      </c>
      <c r="C8" s="771">
        <f>SUM(C9,C16,C20)</f>
        <v>29548.775808723436</v>
      </c>
      <c r="D8" s="772"/>
      <c r="E8" s="772"/>
      <c r="F8" s="773"/>
      <c r="G8" s="493" t="s">
        <v>21</v>
      </c>
    </row>
    <row r="9" spans="1:7" ht="19.5" customHeight="1" thickBot="1">
      <c r="A9" s="269" t="s">
        <v>338</v>
      </c>
      <c r="B9" s="218" t="s">
        <v>60</v>
      </c>
      <c r="C9" s="788">
        <f>SUM(F10:F15)</f>
        <v>16266.850808723433</v>
      </c>
      <c r="D9" s="789"/>
      <c r="E9" s="789"/>
      <c r="F9" s="790"/>
      <c r="G9" s="262"/>
    </row>
    <row r="10" spans="1:7" ht="63.75">
      <c r="A10" s="609" t="s">
        <v>1020</v>
      </c>
      <c r="B10" s="270" t="s">
        <v>240</v>
      </c>
      <c r="C10" s="339" t="s">
        <v>11</v>
      </c>
      <c r="D10" s="206">
        <v>2</v>
      </c>
      <c r="E10" s="205">
        <f>1.25*560.9</f>
        <v>701.125</v>
      </c>
      <c r="F10" s="276">
        <f aca="true" t="shared" si="0" ref="F10:F15">D10*E10</f>
        <v>1402.25</v>
      </c>
      <c r="G10" s="637" t="s">
        <v>1540</v>
      </c>
    </row>
    <row r="11" spans="1:7" ht="76.5">
      <c r="A11" s="534" t="s">
        <v>1021</v>
      </c>
      <c r="B11" s="271" t="s">
        <v>241</v>
      </c>
      <c r="C11" s="175" t="s">
        <v>9</v>
      </c>
      <c r="D11" s="215">
        <v>1.33</v>
      </c>
      <c r="E11" s="152">
        <f>1.25*291.55</f>
        <v>364.4375</v>
      </c>
      <c r="F11" s="277">
        <f t="shared" si="0"/>
        <v>484.70187500000003</v>
      </c>
      <c r="G11" s="511" t="s">
        <v>1541</v>
      </c>
    </row>
    <row r="12" spans="1:7" ht="51">
      <c r="A12" s="534" t="s">
        <v>1024</v>
      </c>
      <c r="B12" s="271" t="s">
        <v>242</v>
      </c>
      <c r="C12" s="175" t="s">
        <v>44</v>
      </c>
      <c r="D12" s="215">
        <v>4.1</v>
      </c>
      <c r="E12" s="152">
        <f>1.25*30.1</f>
        <v>37.625</v>
      </c>
      <c r="F12" s="277">
        <f t="shared" si="0"/>
        <v>154.2625</v>
      </c>
      <c r="G12" s="511" t="s">
        <v>1542</v>
      </c>
    </row>
    <row r="13" spans="1:10" ht="191.25">
      <c r="A13" s="534" t="s">
        <v>1025</v>
      </c>
      <c r="B13" s="361" t="s">
        <v>243</v>
      </c>
      <c r="C13" s="175" t="s">
        <v>9</v>
      </c>
      <c r="D13" s="215">
        <v>8.28</v>
      </c>
      <c r="E13" s="176">
        <f>F39</f>
        <v>341.0746311513505</v>
      </c>
      <c r="F13" s="277">
        <f t="shared" si="0"/>
        <v>2824.097945933182</v>
      </c>
      <c r="G13" s="181" t="s">
        <v>33</v>
      </c>
      <c r="H13" s="111"/>
      <c r="I13" s="111"/>
      <c r="J13" s="111"/>
    </row>
    <row r="14" spans="1:10" ht="191.25">
      <c r="A14" s="534" t="s">
        <v>1026</v>
      </c>
      <c r="B14" s="361" t="s">
        <v>244</v>
      </c>
      <c r="C14" s="175" t="s">
        <v>9</v>
      </c>
      <c r="D14" s="215">
        <v>22.4</v>
      </c>
      <c r="E14" s="176">
        <f>F53</f>
        <v>341.0746311513505</v>
      </c>
      <c r="F14" s="277">
        <f t="shared" si="0"/>
        <v>7640.071737790251</v>
      </c>
      <c r="G14" s="181" t="s">
        <v>33</v>
      </c>
      <c r="H14" s="111"/>
      <c r="I14" s="111"/>
      <c r="J14" s="111"/>
    </row>
    <row r="15" spans="1:7" ht="39" thickBot="1">
      <c r="A15" s="610" t="s">
        <v>1027</v>
      </c>
      <c r="B15" s="273" t="s">
        <v>245</v>
      </c>
      <c r="C15" s="177" t="s">
        <v>9</v>
      </c>
      <c r="D15" s="257">
        <v>14.79</v>
      </c>
      <c r="E15" s="178">
        <f>1.25*203.46</f>
        <v>254.32500000000002</v>
      </c>
      <c r="F15" s="278">
        <f t="shared" si="0"/>
        <v>3761.46675</v>
      </c>
      <c r="G15" s="620" t="s">
        <v>1543</v>
      </c>
    </row>
    <row r="16" spans="1:7" ht="19.5" customHeight="1" thickBot="1">
      <c r="A16" s="137" t="s">
        <v>1022</v>
      </c>
      <c r="B16" s="485" t="s">
        <v>275</v>
      </c>
      <c r="C16" s="777">
        <f>SUM(F17:F19)</f>
        <v>231.0875</v>
      </c>
      <c r="D16" s="778"/>
      <c r="E16" s="778"/>
      <c r="F16" s="779"/>
      <c r="G16" s="226"/>
    </row>
    <row r="17" spans="1:7" ht="51">
      <c r="A17" s="474" t="s">
        <v>1028</v>
      </c>
      <c r="B17" s="274" t="s">
        <v>246</v>
      </c>
      <c r="C17" s="450" t="s">
        <v>11</v>
      </c>
      <c r="D17" s="206">
        <v>1</v>
      </c>
      <c r="E17" s="451">
        <f>1.25*36.51</f>
        <v>45.637499999999996</v>
      </c>
      <c r="F17" s="238">
        <f>D17*E17</f>
        <v>45.637499999999996</v>
      </c>
      <c r="G17" s="619" t="s">
        <v>1544</v>
      </c>
    </row>
    <row r="18" spans="1:7" ht="38.25">
      <c r="A18" s="473" t="s">
        <v>1028</v>
      </c>
      <c r="B18" s="272" t="s">
        <v>247</v>
      </c>
      <c r="C18" s="175" t="s">
        <v>11</v>
      </c>
      <c r="D18" s="215">
        <v>2</v>
      </c>
      <c r="E18" s="176">
        <f>1.25*27.32</f>
        <v>34.15</v>
      </c>
      <c r="F18" s="210">
        <f>D18*E18</f>
        <v>68.3</v>
      </c>
      <c r="G18" s="511" t="s">
        <v>1531</v>
      </c>
    </row>
    <row r="19" spans="1:7" ht="39" thickBot="1">
      <c r="A19" s="551" t="s">
        <v>1029</v>
      </c>
      <c r="B19" s="273" t="s">
        <v>248</v>
      </c>
      <c r="C19" s="177" t="s">
        <v>11</v>
      </c>
      <c r="D19" s="257">
        <v>2</v>
      </c>
      <c r="E19" s="178">
        <f>1.25*46.86</f>
        <v>58.575</v>
      </c>
      <c r="F19" s="239">
        <f>D19*E19</f>
        <v>117.15</v>
      </c>
      <c r="G19" s="620" t="s">
        <v>1532</v>
      </c>
    </row>
    <row r="20" spans="1:7" ht="19.5" customHeight="1" thickBot="1">
      <c r="A20" s="137" t="s">
        <v>1023</v>
      </c>
      <c r="B20" s="485" t="s">
        <v>274</v>
      </c>
      <c r="C20" s="777">
        <f>SUM(F21:F22)</f>
        <v>13050.837500000001</v>
      </c>
      <c r="D20" s="778"/>
      <c r="E20" s="778"/>
      <c r="F20" s="779"/>
      <c r="G20" s="226"/>
    </row>
    <row r="21" spans="1:7" ht="63.75">
      <c r="A21" s="474" t="s">
        <v>1030</v>
      </c>
      <c r="B21" s="452" t="s">
        <v>387</v>
      </c>
      <c r="C21" s="139" t="s">
        <v>44</v>
      </c>
      <c r="D21" s="206">
        <v>17</v>
      </c>
      <c r="E21" s="134">
        <f>1.25*427.31</f>
        <v>534.1375</v>
      </c>
      <c r="F21" s="221">
        <f>D21*E21</f>
        <v>9080.337500000001</v>
      </c>
      <c r="G21" s="355" t="s">
        <v>1564</v>
      </c>
    </row>
    <row r="22" spans="1:7" ht="39" thickBot="1">
      <c r="A22" s="593" t="s">
        <v>1031</v>
      </c>
      <c r="B22" s="446" t="s">
        <v>388</v>
      </c>
      <c r="C22" s="138" t="s">
        <v>44</v>
      </c>
      <c r="D22" s="257">
        <v>30</v>
      </c>
      <c r="E22" s="126">
        <f>1.25*105.88</f>
        <v>132.35</v>
      </c>
      <c r="F22" s="275">
        <f>D22*E22</f>
        <v>3970.5</v>
      </c>
      <c r="G22" s="620" t="s">
        <v>1565</v>
      </c>
    </row>
    <row r="23" spans="1:6" ht="30" customHeight="1" thickBot="1">
      <c r="A23" s="753"/>
      <c r="B23" s="754"/>
      <c r="C23" s="754"/>
      <c r="D23" s="754"/>
      <c r="E23" s="754"/>
      <c r="F23" s="755"/>
    </row>
    <row r="25" spans="1:7" ht="12.75">
      <c r="A25" s="72"/>
      <c r="B25" s="57" t="s">
        <v>28</v>
      </c>
      <c r="C25" s="56"/>
      <c r="D25" s="56"/>
      <c r="E25" s="56"/>
      <c r="F25" s="56"/>
      <c r="G25" s="58"/>
    </row>
    <row r="26" spans="1:7" ht="191.25">
      <c r="A26" s="453" t="s">
        <v>1025</v>
      </c>
      <c r="B26" s="454" t="s">
        <v>243</v>
      </c>
      <c r="C26" s="455" t="s">
        <v>35</v>
      </c>
      <c r="D26" s="456" t="s">
        <v>6</v>
      </c>
      <c r="E26" s="457" t="s">
        <v>29</v>
      </c>
      <c r="F26" s="457" t="s">
        <v>8</v>
      </c>
      <c r="G26" s="458" t="s">
        <v>21</v>
      </c>
    </row>
    <row r="27" spans="1:7" ht="12.75">
      <c r="A27" s="412" t="s">
        <v>1032</v>
      </c>
      <c r="B27" s="361" t="s">
        <v>390</v>
      </c>
      <c r="C27" s="332" t="s">
        <v>9</v>
      </c>
      <c r="D27" s="215">
        <v>1</v>
      </c>
      <c r="E27" s="434">
        <f>1.25*33.49</f>
        <v>41.862500000000004</v>
      </c>
      <c r="F27" s="434">
        <f>D27*E27</f>
        <v>41.862500000000004</v>
      </c>
      <c r="G27" s="459" t="s">
        <v>1533</v>
      </c>
    </row>
    <row r="28" spans="1:7" ht="12.75">
      <c r="A28" s="412" t="s">
        <v>1033</v>
      </c>
      <c r="B28" s="361" t="s">
        <v>392</v>
      </c>
      <c r="C28" s="332" t="s">
        <v>41</v>
      </c>
      <c r="D28" s="215">
        <v>0.081</v>
      </c>
      <c r="E28" s="434">
        <f>1.25*22.09</f>
        <v>27.6125</v>
      </c>
      <c r="F28" s="434">
        <f aca="true" t="shared" si="1" ref="F28:F38">D28*E28</f>
        <v>2.2366125</v>
      </c>
      <c r="G28" s="459" t="s">
        <v>1534</v>
      </c>
    </row>
    <row r="29" spans="1:7" ht="12.75">
      <c r="A29" s="412" t="s">
        <v>1034</v>
      </c>
      <c r="B29" s="361" t="s">
        <v>391</v>
      </c>
      <c r="C29" s="332" t="s">
        <v>9</v>
      </c>
      <c r="D29" s="215">
        <v>1</v>
      </c>
      <c r="E29" s="434">
        <f>1.25*25.48</f>
        <v>31.85</v>
      </c>
      <c r="F29" s="434">
        <f t="shared" si="1"/>
        <v>31.85</v>
      </c>
      <c r="G29" s="459" t="s">
        <v>1535</v>
      </c>
    </row>
    <row r="30" spans="1:7" ht="12.75">
      <c r="A30" s="412" t="s">
        <v>1035</v>
      </c>
      <c r="B30" s="361" t="s">
        <v>394</v>
      </c>
      <c r="C30" s="332" t="s">
        <v>44</v>
      </c>
      <c r="D30" s="215">
        <v>1.71</v>
      </c>
      <c r="E30" s="434">
        <f>1.25*178.31/6</f>
        <v>37.14791666666667</v>
      </c>
      <c r="F30" s="434">
        <f t="shared" si="1"/>
        <v>63.5229375</v>
      </c>
      <c r="G30" s="459" t="s">
        <v>45</v>
      </c>
    </row>
    <row r="31" spans="1:7" ht="12.75">
      <c r="A31" s="412" t="s">
        <v>1036</v>
      </c>
      <c r="B31" s="361" t="s">
        <v>395</v>
      </c>
      <c r="C31" s="332" t="s">
        <v>44</v>
      </c>
      <c r="D31" s="460">
        <f>25/8.28</f>
        <v>3.0193236714975846</v>
      </c>
      <c r="E31" s="434">
        <f>1.25*46.56/50</f>
        <v>1.1640000000000001</v>
      </c>
      <c r="F31" s="434">
        <f t="shared" si="1"/>
        <v>3.514492753623189</v>
      </c>
      <c r="G31" s="459" t="s">
        <v>45</v>
      </c>
    </row>
    <row r="32" spans="1:7" ht="25.5">
      <c r="A32" s="412" t="s">
        <v>1037</v>
      </c>
      <c r="B32" s="361" t="s">
        <v>396</v>
      </c>
      <c r="C32" s="332" t="s">
        <v>40</v>
      </c>
      <c r="D32" s="460">
        <v>3</v>
      </c>
      <c r="E32" s="434">
        <f>1.25*227.17/88</f>
        <v>3.2268465909090907</v>
      </c>
      <c r="F32" s="434">
        <f t="shared" si="1"/>
        <v>9.680539772727272</v>
      </c>
      <c r="G32" s="459" t="s">
        <v>45</v>
      </c>
    </row>
    <row r="33" spans="1:7" ht="25.5">
      <c r="A33" s="412" t="s">
        <v>1038</v>
      </c>
      <c r="B33" s="361" t="s">
        <v>393</v>
      </c>
      <c r="C33" s="332" t="s">
        <v>9</v>
      </c>
      <c r="D33" s="215">
        <f>0.05*0.03*2*1.71</f>
        <v>0.00513</v>
      </c>
      <c r="E33" s="434">
        <f>1.25*14.53</f>
        <v>18.162499999999998</v>
      </c>
      <c r="F33" s="434">
        <f t="shared" si="1"/>
        <v>0.093173625</v>
      </c>
      <c r="G33" s="459" t="s">
        <v>1536</v>
      </c>
    </row>
    <row r="34" spans="1:7" ht="12.75">
      <c r="A34" s="412" t="s">
        <v>1039</v>
      </c>
      <c r="B34" s="361" t="s">
        <v>619</v>
      </c>
      <c r="C34" s="332" t="s">
        <v>41</v>
      </c>
      <c r="D34" s="215">
        <f>0.05*0.05*38*2</f>
        <v>0.19000000000000003</v>
      </c>
      <c r="E34" s="434">
        <f>1.25*4.79</f>
        <v>5.9875</v>
      </c>
      <c r="F34" s="434">
        <f>D34*E34</f>
        <v>1.137625</v>
      </c>
      <c r="G34" s="459" t="s">
        <v>1537</v>
      </c>
    </row>
    <row r="35" spans="1:7" ht="12.75">
      <c r="A35" s="412" t="s">
        <v>1040</v>
      </c>
      <c r="B35" s="361" t="s">
        <v>389</v>
      </c>
      <c r="C35" s="332" t="s">
        <v>36</v>
      </c>
      <c r="D35" s="215">
        <v>0.008</v>
      </c>
      <c r="E35" s="434">
        <f>1.25*418.8</f>
        <v>523.5</v>
      </c>
      <c r="F35" s="434">
        <f>D35*E35</f>
        <v>4.188</v>
      </c>
      <c r="G35" s="459" t="s">
        <v>1538</v>
      </c>
    </row>
    <row r="36" spans="1:7" ht="12.75">
      <c r="A36" s="412" t="s">
        <v>1041</v>
      </c>
      <c r="B36" s="361" t="s">
        <v>618</v>
      </c>
      <c r="C36" s="332" t="s">
        <v>34</v>
      </c>
      <c r="D36" s="215">
        <v>0.75</v>
      </c>
      <c r="E36" s="434">
        <f>1.25*15.22</f>
        <v>19.025000000000002</v>
      </c>
      <c r="F36" s="434">
        <f>D36*E36</f>
        <v>14.26875</v>
      </c>
      <c r="G36" s="459" t="s">
        <v>1163</v>
      </c>
    </row>
    <row r="37" spans="1:7" ht="12.75">
      <c r="A37" s="412" t="s">
        <v>1042</v>
      </c>
      <c r="B37" s="361" t="s">
        <v>349</v>
      </c>
      <c r="C37" s="332" t="s">
        <v>34</v>
      </c>
      <c r="D37" s="215">
        <v>3.2</v>
      </c>
      <c r="E37" s="434">
        <f>1.25*13.76</f>
        <v>17.2</v>
      </c>
      <c r="F37" s="434">
        <f t="shared" si="1"/>
        <v>55.04</v>
      </c>
      <c r="G37" s="459" t="s">
        <v>1142</v>
      </c>
    </row>
    <row r="38" spans="1:7" ht="12.75">
      <c r="A38" s="412" t="s">
        <v>1043</v>
      </c>
      <c r="B38" s="361" t="s">
        <v>350</v>
      </c>
      <c r="C38" s="332" t="s">
        <v>34</v>
      </c>
      <c r="D38" s="215">
        <v>3.2</v>
      </c>
      <c r="E38" s="434">
        <f>1.25*28.42</f>
        <v>35.525000000000006</v>
      </c>
      <c r="F38" s="434">
        <f t="shared" si="1"/>
        <v>113.68000000000002</v>
      </c>
      <c r="G38" s="459" t="s">
        <v>1539</v>
      </c>
    </row>
    <row r="39" spans="5:6" ht="15">
      <c r="E39" s="412" t="s">
        <v>10</v>
      </c>
      <c r="F39" s="431">
        <f>SUM(F27:F38)</f>
        <v>341.0746311513505</v>
      </c>
    </row>
    <row r="40" spans="1:7" ht="191.25">
      <c r="A40" s="453" t="s">
        <v>1026</v>
      </c>
      <c r="B40" s="454" t="s">
        <v>244</v>
      </c>
      <c r="C40" s="455" t="s">
        <v>35</v>
      </c>
      <c r="D40" s="456" t="s">
        <v>6</v>
      </c>
      <c r="E40" s="457" t="s">
        <v>29</v>
      </c>
      <c r="F40" s="457" t="s">
        <v>8</v>
      </c>
      <c r="G40" s="458" t="s">
        <v>21</v>
      </c>
    </row>
    <row r="41" spans="1:7" ht="12.75">
      <c r="A41" s="412" t="s">
        <v>1044</v>
      </c>
      <c r="B41" s="361" t="s">
        <v>390</v>
      </c>
      <c r="C41" s="332" t="s">
        <v>9</v>
      </c>
      <c r="D41" s="215">
        <v>1</v>
      </c>
      <c r="E41" s="434">
        <f>1.25*33.49</f>
        <v>41.862500000000004</v>
      </c>
      <c r="F41" s="434">
        <f>D41*E41</f>
        <v>41.862500000000004</v>
      </c>
      <c r="G41" s="459" t="s">
        <v>1533</v>
      </c>
    </row>
    <row r="42" spans="1:7" ht="12.75">
      <c r="A42" s="412" t="s">
        <v>1045</v>
      </c>
      <c r="B42" s="361" t="s">
        <v>392</v>
      </c>
      <c r="C42" s="332" t="s">
        <v>41</v>
      </c>
      <c r="D42" s="215">
        <v>0.081</v>
      </c>
      <c r="E42" s="434">
        <f>1.25*22.09</f>
        <v>27.6125</v>
      </c>
      <c r="F42" s="434">
        <f aca="true" t="shared" si="2" ref="F42:F47">D42*E42</f>
        <v>2.2366125</v>
      </c>
      <c r="G42" s="459" t="s">
        <v>1534</v>
      </c>
    </row>
    <row r="43" spans="1:7" ht="12.75">
      <c r="A43" s="412" t="s">
        <v>1046</v>
      </c>
      <c r="B43" s="361" t="s">
        <v>391</v>
      </c>
      <c r="C43" s="332" t="s">
        <v>9</v>
      </c>
      <c r="D43" s="215">
        <v>1</v>
      </c>
      <c r="E43" s="434">
        <f>1.25*25.48</f>
        <v>31.85</v>
      </c>
      <c r="F43" s="434">
        <f t="shared" si="2"/>
        <v>31.85</v>
      </c>
      <c r="G43" s="459" t="s">
        <v>1535</v>
      </c>
    </row>
    <row r="44" spans="1:7" ht="12.75">
      <c r="A44" s="412" t="s">
        <v>1047</v>
      </c>
      <c r="B44" s="361" t="s">
        <v>394</v>
      </c>
      <c r="C44" s="332" t="s">
        <v>44</v>
      </c>
      <c r="D44" s="215">
        <v>1.71</v>
      </c>
      <c r="E44" s="434">
        <f>1.25*178.31/6</f>
        <v>37.14791666666667</v>
      </c>
      <c r="F44" s="434">
        <f t="shared" si="2"/>
        <v>63.5229375</v>
      </c>
      <c r="G44" s="459" t="s">
        <v>45</v>
      </c>
    </row>
    <row r="45" spans="1:7" ht="12.75">
      <c r="A45" s="412" t="s">
        <v>1048</v>
      </c>
      <c r="B45" s="361" t="s">
        <v>395</v>
      </c>
      <c r="C45" s="332" t="s">
        <v>44</v>
      </c>
      <c r="D45" s="460">
        <f>25/8.28</f>
        <v>3.0193236714975846</v>
      </c>
      <c r="E45" s="434">
        <f>1.25*46.56/50</f>
        <v>1.1640000000000001</v>
      </c>
      <c r="F45" s="434">
        <f t="shared" si="2"/>
        <v>3.514492753623189</v>
      </c>
      <c r="G45" s="459" t="s">
        <v>45</v>
      </c>
    </row>
    <row r="46" spans="1:7" ht="25.5">
      <c r="A46" s="412" t="s">
        <v>1049</v>
      </c>
      <c r="B46" s="361" t="s">
        <v>396</v>
      </c>
      <c r="C46" s="332" t="s">
        <v>40</v>
      </c>
      <c r="D46" s="460">
        <v>3</v>
      </c>
      <c r="E46" s="434">
        <f>1.25*227.17/88</f>
        <v>3.2268465909090907</v>
      </c>
      <c r="F46" s="434">
        <f t="shared" si="2"/>
        <v>9.680539772727272</v>
      </c>
      <c r="G46" s="459" t="s">
        <v>45</v>
      </c>
    </row>
    <row r="47" spans="1:7" ht="25.5">
      <c r="A47" s="412" t="s">
        <v>1050</v>
      </c>
      <c r="B47" s="361" t="s">
        <v>393</v>
      </c>
      <c r="C47" s="332" t="s">
        <v>9</v>
      </c>
      <c r="D47" s="215">
        <f>0.05*0.03*2*1.71</f>
        <v>0.00513</v>
      </c>
      <c r="E47" s="434">
        <f>1.25*14.53</f>
        <v>18.162499999999998</v>
      </c>
      <c r="F47" s="434">
        <f t="shared" si="2"/>
        <v>0.093173625</v>
      </c>
      <c r="G47" s="459" t="s">
        <v>1536</v>
      </c>
    </row>
    <row r="48" spans="1:7" ht="12.75">
      <c r="A48" s="412" t="s">
        <v>1051</v>
      </c>
      <c r="B48" s="361" t="s">
        <v>619</v>
      </c>
      <c r="C48" s="332" t="s">
        <v>41</v>
      </c>
      <c r="D48" s="215">
        <f>0.05*0.05*38*2</f>
        <v>0.19000000000000003</v>
      </c>
      <c r="E48" s="434">
        <f>1.25*4.79</f>
        <v>5.9875</v>
      </c>
      <c r="F48" s="434">
        <f>D48*E48</f>
        <v>1.137625</v>
      </c>
      <c r="G48" s="459" t="s">
        <v>1537</v>
      </c>
    </row>
    <row r="49" spans="1:7" ht="12.75">
      <c r="A49" s="412" t="s">
        <v>1052</v>
      </c>
      <c r="B49" s="361" t="s">
        <v>389</v>
      </c>
      <c r="C49" s="332" t="s">
        <v>36</v>
      </c>
      <c r="D49" s="215">
        <v>0.008</v>
      </c>
      <c r="E49" s="434">
        <f>1.25*418.8</f>
        <v>523.5</v>
      </c>
      <c r="F49" s="434">
        <f>D49*E49</f>
        <v>4.188</v>
      </c>
      <c r="G49" s="459" t="s">
        <v>1538</v>
      </c>
    </row>
    <row r="50" spans="1:7" ht="12.75">
      <c r="A50" s="412" t="s">
        <v>1053</v>
      </c>
      <c r="B50" s="361" t="s">
        <v>618</v>
      </c>
      <c r="C50" s="332" t="s">
        <v>34</v>
      </c>
      <c r="D50" s="215">
        <v>0.75</v>
      </c>
      <c r="E50" s="434">
        <f>1.25*15.22</f>
        <v>19.025000000000002</v>
      </c>
      <c r="F50" s="434">
        <f>D50*E50</f>
        <v>14.26875</v>
      </c>
      <c r="G50" s="459" t="s">
        <v>1163</v>
      </c>
    </row>
    <row r="51" spans="1:7" ht="12.75">
      <c r="A51" s="412" t="s">
        <v>1054</v>
      </c>
      <c r="B51" s="361" t="s">
        <v>349</v>
      </c>
      <c r="C51" s="332" t="s">
        <v>34</v>
      </c>
      <c r="D51" s="215">
        <v>3.2</v>
      </c>
      <c r="E51" s="434">
        <f>1.25*13.76</f>
        <v>17.2</v>
      </c>
      <c r="F51" s="434">
        <f>D51*E51</f>
        <v>55.04</v>
      </c>
      <c r="G51" s="459" t="s">
        <v>1142</v>
      </c>
    </row>
    <row r="52" spans="1:7" ht="12.75">
      <c r="A52" s="412" t="s">
        <v>1055</v>
      </c>
      <c r="B52" s="361" t="s">
        <v>350</v>
      </c>
      <c r="C52" s="332" t="s">
        <v>34</v>
      </c>
      <c r="D52" s="215">
        <v>3.2</v>
      </c>
      <c r="E52" s="434">
        <f>1.25*28.42</f>
        <v>35.525000000000006</v>
      </c>
      <c r="F52" s="434">
        <f>D52*E52</f>
        <v>113.68000000000002</v>
      </c>
      <c r="G52" s="459" t="s">
        <v>1539</v>
      </c>
    </row>
    <row r="53" spans="5:6" ht="15">
      <c r="E53" s="412" t="s">
        <v>10</v>
      </c>
      <c r="F53" s="431">
        <f>SUM(F41:F52)</f>
        <v>341.0746311513505</v>
      </c>
    </row>
  </sheetData>
  <sheetProtection password="E5F2" sheet="1" objects="1" scenarios="1" selectLockedCells="1" selectUnlockedCells="1"/>
  <mergeCells count="11">
    <mergeCell ref="A6:F6"/>
    <mergeCell ref="A23:F23"/>
    <mergeCell ref="C9:F9"/>
    <mergeCell ref="C20:F20"/>
    <mergeCell ref="C16:F16"/>
    <mergeCell ref="C8:F8"/>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selection activeCell="C32" sqref="C32:C34"/>
    </sheetView>
  </sheetViews>
  <sheetFormatPr defaultColWidth="9.140625" defaultRowHeight="12.75"/>
  <cols>
    <col min="1" max="1" width="5.421875" style="0" bestFit="1" customWidth="1"/>
    <col min="2" max="2" width="55.421875" style="0" bestFit="1" customWidth="1"/>
    <col min="3" max="3" width="15.57421875" style="0" bestFit="1" customWidth="1"/>
    <col min="4" max="4" width="10.7109375" style="0" customWidth="1"/>
    <col min="5" max="5" width="25.7109375" style="0" customWidth="1"/>
    <col min="6" max="11" width="13.28125" style="0" customWidth="1"/>
    <col min="12" max="13" width="25.7109375" style="0" customWidth="1"/>
  </cols>
  <sheetData>
    <row r="1" spans="1:13" ht="21.75" customHeight="1">
      <c r="A1" s="303"/>
      <c r="B1" s="305"/>
      <c r="C1" s="305"/>
      <c r="D1" s="305"/>
      <c r="E1" s="305"/>
      <c r="F1" s="284"/>
      <c r="G1" s="116" t="s">
        <v>15</v>
      </c>
      <c r="H1" s="116"/>
      <c r="I1" s="301"/>
      <c r="J1" s="301"/>
      <c r="K1" s="301"/>
      <c r="L1" s="305"/>
      <c r="M1" s="326"/>
    </row>
    <row r="2" spans="1:13" ht="21.75" customHeight="1">
      <c r="A2" s="304"/>
      <c r="B2" s="302"/>
      <c r="C2" s="302"/>
      <c r="D2" s="302"/>
      <c r="E2" s="302"/>
      <c r="F2" s="285"/>
      <c r="G2" s="117" t="s">
        <v>557</v>
      </c>
      <c r="H2" s="117"/>
      <c r="I2" s="300"/>
      <c r="J2" s="300"/>
      <c r="K2" s="300"/>
      <c r="L2" s="302"/>
      <c r="M2" s="327"/>
    </row>
    <row r="3" spans="1:13" ht="21.75" customHeight="1">
      <c r="A3" s="304"/>
      <c r="B3" s="302"/>
      <c r="C3" s="302"/>
      <c r="D3" s="302"/>
      <c r="E3" s="302"/>
      <c r="F3" s="285"/>
      <c r="G3" s="117" t="s">
        <v>558</v>
      </c>
      <c r="H3" s="117"/>
      <c r="I3" s="300"/>
      <c r="J3" s="300"/>
      <c r="K3" s="300"/>
      <c r="L3" s="302"/>
      <c r="M3" s="327"/>
    </row>
    <row r="4" spans="1:13" ht="21.75" customHeight="1">
      <c r="A4" s="304"/>
      <c r="B4" s="302"/>
      <c r="C4" s="302"/>
      <c r="D4" s="302"/>
      <c r="E4" s="302"/>
      <c r="F4" s="285"/>
      <c r="G4" s="117" t="s">
        <v>16</v>
      </c>
      <c r="H4" s="117"/>
      <c r="I4" s="300"/>
      <c r="J4" s="300"/>
      <c r="K4" s="300"/>
      <c r="L4" s="302"/>
      <c r="M4" s="327"/>
    </row>
    <row r="5" spans="1:13" ht="21.75" customHeight="1" thickBot="1">
      <c r="A5" s="286"/>
      <c r="B5" s="287"/>
      <c r="C5" s="287"/>
      <c r="D5" s="287"/>
      <c r="E5" s="287"/>
      <c r="F5" s="306"/>
      <c r="G5" s="822"/>
      <c r="H5" s="822"/>
      <c r="I5" s="822"/>
      <c r="J5" s="822"/>
      <c r="K5" s="822"/>
      <c r="L5" s="306"/>
      <c r="M5" s="328"/>
    </row>
    <row r="6" spans="1:13" ht="19.5" customHeight="1" thickBot="1">
      <c r="A6" s="847" t="s">
        <v>1</v>
      </c>
      <c r="B6" s="847" t="s">
        <v>17</v>
      </c>
      <c r="C6" s="849" t="s">
        <v>18</v>
      </c>
      <c r="D6" s="851" t="s">
        <v>14</v>
      </c>
      <c r="E6" s="806" t="s">
        <v>276</v>
      </c>
      <c r="F6" s="807"/>
      <c r="G6" s="807"/>
      <c r="H6" s="807"/>
      <c r="I6" s="807"/>
      <c r="J6" s="807"/>
      <c r="K6" s="807"/>
      <c r="L6" s="807"/>
      <c r="M6" s="808"/>
    </row>
    <row r="7" spans="1:13" ht="19.5" customHeight="1" thickBot="1">
      <c r="A7" s="848"/>
      <c r="B7" s="848"/>
      <c r="C7" s="850"/>
      <c r="D7" s="852"/>
      <c r="E7" s="292" t="s">
        <v>46</v>
      </c>
      <c r="F7" s="841" t="s">
        <v>47</v>
      </c>
      <c r="G7" s="842"/>
      <c r="H7" s="841" t="s">
        <v>277</v>
      </c>
      <c r="I7" s="842"/>
      <c r="J7" s="841" t="s">
        <v>278</v>
      </c>
      <c r="K7" s="842"/>
      <c r="L7" s="292" t="s">
        <v>279</v>
      </c>
      <c r="M7" s="292" t="s">
        <v>280</v>
      </c>
    </row>
    <row r="8" spans="1:13" ht="12.75">
      <c r="A8" s="853">
        <v>1</v>
      </c>
      <c r="B8" s="855" t="str">
        <f>GERAL!B7</f>
        <v>GERENCIAMENTO DE OBRAS/FISCALIZAÇÃO</v>
      </c>
      <c r="C8" s="857">
        <f>GERAL!C7</f>
        <v>225305.06038672142</v>
      </c>
      <c r="D8" s="859">
        <f>C8/C60</f>
        <v>0.1565355378861163</v>
      </c>
      <c r="E8" s="293">
        <f>1/6</f>
        <v>0.16666666666666666</v>
      </c>
      <c r="F8" s="800">
        <f>1/6</f>
        <v>0.16666666666666666</v>
      </c>
      <c r="G8" s="801"/>
      <c r="H8" s="800">
        <f>1/6</f>
        <v>0.16666666666666666</v>
      </c>
      <c r="I8" s="801"/>
      <c r="J8" s="800">
        <f>1/6</f>
        <v>0.16666666666666666</v>
      </c>
      <c r="K8" s="801"/>
      <c r="L8" s="293">
        <f>1/6</f>
        <v>0.16666666666666666</v>
      </c>
      <c r="M8" s="309">
        <f>1/6</f>
        <v>0.16666666666666666</v>
      </c>
    </row>
    <row r="9" spans="1:13" ht="12.75">
      <c r="A9" s="854"/>
      <c r="B9" s="856"/>
      <c r="C9" s="858"/>
      <c r="D9" s="860"/>
      <c r="E9" s="295"/>
      <c r="F9" s="815"/>
      <c r="G9" s="816"/>
      <c r="H9" s="815"/>
      <c r="I9" s="816"/>
      <c r="J9" s="815"/>
      <c r="K9" s="816"/>
      <c r="L9" s="295"/>
      <c r="M9" s="324"/>
    </row>
    <row r="10" spans="1:13" ht="13.5" thickBot="1">
      <c r="A10" s="854"/>
      <c r="B10" s="856"/>
      <c r="C10" s="858"/>
      <c r="D10" s="860"/>
      <c r="E10" s="297">
        <f>E8*C8</f>
        <v>37550.8433977869</v>
      </c>
      <c r="F10" s="798">
        <f>F8*$C$8</f>
        <v>37550.8433977869</v>
      </c>
      <c r="G10" s="799"/>
      <c r="H10" s="798">
        <f>H8*$C$8</f>
        <v>37550.8433977869</v>
      </c>
      <c r="I10" s="799"/>
      <c r="J10" s="798">
        <f>J8*$C$8</f>
        <v>37550.8433977869</v>
      </c>
      <c r="K10" s="799"/>
      <c r="L10" s="297">
        <f>L8*C8</f>
        <v>37550.8433977869</v>
      </c>
      <c r="M10" s="288">
        <f>M8*C8</f>
        <v>37550.8433977869</v>
      </c>
    </row>
    <row r="11" spans="1:13" ht="12.75">
      <c r="A11" s="853">
        <v>2</v>
      </c>
      <c r="B11" s="869" t="str">
        <f>GERAL!B8</f>
        <v>PROJETOS</v>
      </c>
      <c r="C11" s="857">
        <f>GERAL!C8</f>
        <v>5964.750000000001</v>
      </c>
      <c r="D11" s="859">
        <f>C11/C60</f>
        <v>0.004144138387320663</v>
      </c>
      <c r="E11" s="293"/>
      <c r="F11" s="800"/>
      <c r="G11" s="801"/>
      <c r="H11" s="800"/>
      <c r="I11" s="801"/>
      <c r="J11" s="800"/>
      <c r="K11" s="801"/>
      <c r="L11" s="309">
        <v>0.3</v>
      </c>
      <c r="M11" s="294">
        <v>0.7</v>
      </c>
    </row>
    <row r="12" spans="1:13" ht="12.75">
      <c r="A12" s="854"/>
      <c r="B12" s="870"/>
      <c r="C12" s="858"/>
      <c r="D12" s="860"/>
      <c r="E12" s="298"/>
      <c r="F12" s="810"/>
      <c r="G12" s="805"/>
      <c r="H12" s="843"/>
      <c r="I12" s="844"/>
      <c r="J12" s="810"/>
      <c r="K12" s="805"/>
      <c r="L12" s="497"/>
      <c r="M12" s="496"/>
    </row>
    <row r="13" spans="1:13" ht="13.5" thickBot="1">
      <c r="A13" s="868"/>
      <c r="B13" s="871"/>
      <c r="C13" s="861"/>
      <c r="D13" s="862"/>
      <c r="E13" s="297"/>
      <c r="F13" s="798"/>
      <c r="G13" s="799"/>
      <c r="H13" s="798"/>
      <c r="I13" s="799"/>
      <c r="J13" s="798"/>
      <c r="K13" s="799"/>
      <c r="L13" s="290">
        <f>L11*C11</f>
        <v>1789.4250000000002</v>
      </c>
      <c r="M13" s="467">
        <f>M11*C11</f>
        <v>4175.325000000001</v>
      </c>
    </row>
    <row r="14" spans="1:13" ht="12.75">
      <c r="A14" s="829">
        <v>3</v>
      </c>
      <c r="B14" s="845" t="str">
        <f>GERAL!B9</f>
        <v>SERVIÇOS PRELIMINARES</v>
      </c>
      <c r="C14" s="824">
        <f>GERAL!C9</f>
        <v>82456.0085625</v>
      </c>
      <c r="D14" s="820">
        <f>C14/C60</f>
        <v>0.05728808589615617</v>
      </c>
      <c r="E14" s="293">
        <v>0.75</v>
      </c>
      <c r="F14" s="800">
        <v>0.25</v>
      </c>
      <c r="G14" s="801"/>
      <c r="H14" s="813"/>
      <c r="I14" s="812"/>
      <c r="J14" s="813"/>
      <c r="K14" s="812"/>
      <c r="L14" s="293"/>
      <c r="M14" s="309"/>
    </row>
    <row r="15" spans="1:13" ht="12.75">
      <c r="A15" s="829"/>
      <c r="B15" s="845"/>
      <c r="C15" s="824"/>
      <c r="D15" s="820"/>
      <c r="E15" s="295"/>
      <c r="F15" s="836"/>
      <c r="G15" s="837"/>
      <c r="H15" s="798"/>
      <c r="I15" s="799"/>
      <c r="J15" s="798"/>
      <c r="K15" s="799"/>
      <c r="L15" s="298"/>
      <c r="M15" s="325"/>
    </row>
    <row r="16" spans="1:13" ht="13.5" thickBot="1">
      <c r="A16" s="830"/>
      <c r="B16" s="846"/>
      <c r="C16" s="825"/>
      <c r="D16" s="821"/>
      <c r="E16" s="297">
        <f>E14*C14</f>
        <v>61842.006421875005</v>
      </c>
      <c r="F16" s="798">
        <f>F14*C14</f>
        <v>20614.002140625</v>
      </c>
      <c r="G16" s="799"/>
      <c r="H16" s="798"/>
      <c r="I16" s="799"/>
      <c r="J16" s="798"/>
      <c r="K16" s="799"/>
      <c r="L16" s="297"/>
      <c r="M16" s="288"/>
    </row>
    <row r="17" spans="1:13" ht="12.75">
      <c r="A17" s="828">
        <v>4</v>
      </c>
      <c r="B17" s="872" t="str">
        <f>GERAL!B10</f>
        <v>MOVIMENTO DE TERRA</v>
      </c>
      <c r="C17" s="823">
        <f>GERAL!C10</f>
        <v>4189.521</v>
      </c>
      <c r="D17" s="859">
        <f>C17/C60</f>
        <v>0.002910759847535278</v>
      </c>
      <c r="E17" s="293">
        <v>1</v>
      </c>
      <c r="F17" s="800"/>
      <c r="G17" s="801"/>
      <c r="H17" s="800"/>
      <c r="I17" s="801"/>
      <c r="J17" s="800"/>
      <c r="K17" s="801"/>
      <c r="L17" s="293"/>
      <c r="M17" s="309"/>
    </row>
    <row r="18" spans="1:13" ht="12.75">
      <c r="A18" s="829"/>
      <c r="B18" s="845"/>
      <c r="C18" s="824"/>
      <c r="D18" s="860"/>
      <c r="E18" s="295"/>
      <c r="F18" s="810"/>
      <c r="G18" s="805"/>
      <c r="H18" s="810"/>
      <c r="I18" s="805"/>
      <c r="J18" s="810"/>
      <c r="K18" s="805"/>
      <c r="L18" s="298"/>
      <c r="M18" s="325"/>
    </row>
    <row r="19" spans="1:13" ht="13.5" thickBot="1">
      <c r="A19" s="830"/>
      <c r="B19" s="846"/>
      <c r="C19" s="825"/>
      <c r="D19" s="860"/>
      <c r="E19" s="297">
        <f>E17*C17</f>
        <v>4189.521</v>
      </c>
      <c r="F19" s="798"/>
      <c r="G19" s="799"/>
      <c r="H19" s="798"/>
      <c r="I19" s="799"/>
      <c r="J19" s="798"/>
      <c r="K19" s="799"/>
      <c r="L19" s="297"/>
      <c r="M19" s="288"/>
    </row>
    <row r="20" spans="1:13" ht="12.75">
      <c r="A20" s="828">
        <v>5</v>
      </c>
      <c r="B20" s="872" t="str">
        <f>GERAL!B11</f>
        <v>ALVENARIA E VEDAÇÃO</v>
      </c>
      <c r="C20" s="823">
        <f>GERAL!C11</f>
        <v>38626.79913209583</v>
      </c>
      <c r="D20" s="859">
        <f>C20/C60</f>
        <v>0.02683679970872925</v>
      </c>
      <c r="E20" s="293"/>
      <c r="F20" s="800">
        <v>0.5</v>
      </c>
      <c r="G20" s="801"/>
      <c r="H20" s="800">
        <v>0.5</v>
      </c>
      <c r="I20" s="801"/>
      <c r="J20" s="800"/>
      <c r="K20" s="801"/>
      <c r="L20" s="293"/>
      <c r="M20" s="309"/>
    </row>
    <row r="21" spans="1:13" ht="12.75">
      <c r="A21" s="829"/>
      <c r="B21" s="845"/>
      <c r="C21" s="824"/>
      <c r="D21" s="860"/>
      <c r="E21" s="298"/>
      <c r="F21" s="836"/>
      <c r="G21" s="837"/>
      <c r="H21" s="836"/>
      <c r="I21" s="837"/>
      <c r="J21" s="810"/>
      <c r="K21" s="805"/>
      <c r="L21" s="298"/>
      <c r="M21" s="325"/>
    </row>
    <row r="22" spans="1:13" ht="13.5" thickBot="1">
      <c r="A22" s="830"/>
      <c r="B22" s="846"/>
      <c r="C22" s="825"/>
      <c r="D22" s="860"/>
      <c r="E22" s="297"/>
      <c r="F22" s="798">
        <f>F20*C20</f>
        <v>19313.399566047916</v>
      </c>
      <c r="G22" s="799"/>
      <c r="H22" s="798">
        <f>H20*C20</f>
        <v>19313.399566047916</v>
      </c>
      <c r="I22" s="799"/>
      <c r="J22" s="798"/>
      <c r="K22" s="799"/>
      <c r="L22" s="297"/>
      <c r="M22" s="288"/>
    </row>
    <row r="23" spans="1:13" ht="12.75">
      <c r="A23" s="828">
        <v>6</v>
      </c>
      <c r="B23" s="872" t="str">
        <f>GERAL!B12</f>
        <v>ESQUADRIAS</v>
      </c>
      <c r="C23" s="823">
        <f>GERAL!C12</f>
        <v>201189.5201435</v>
      </c>
      <c r="D23" s="859">
        <f>C23/C60</f>
        <v>0.13978074748368366</v>
      </c>
      <c r="E23" s="293"/>
      <c r="F23" s="800"/>
      <c r="G23" s="801"/>
      <c r="H23" s="800">
        <v>0.5</v>
      </c>
      <c r="I23" s="801"/>
      <c r="J23" s="800">
        <v>0.5</v>
      </c>
      <c r="K23" s="801"/>
      <c r="L23" s="293"/>
      <c r="M23" s="309"/>
    </row>
    <row r="24" spans="1:13" ht="12.75">
      <c r="A24" s="829"/>
      <c r="B24" s="845"/>
      <c r="C24" s="824"/>
      <c r="D24" s="860"/>
      <c r="E24" s="298"/>
      <c r="F24" s="810"/>
      <c r="G24" s="805"/>
      <c r="H24" s="815"/>
      <c r="I24" s="816"/>
      <c r="J24" s="836"/>
      <c r="K24" s="837"/>
      <c r="M24" s="325"/>
    </row>
    <row r="25" spans="1:13" ht="13.5" thickBot="1">
      <c r="A25" s="830"/>
      <c r="B25" s="846"/>
      <c r="C25" s="825"/>
      <c r="D25" s="860"/>
      <c r="E25" s="297"/>
      <c r="F25" s="798"/>
      <c r="G25" s="799"/>
      <c r="H25" s="798">
        <f>H23*C23</f>
        <v>100594.76007175</v>
      </c>
      <c r="I25" s="799"/>
      <c r="J25" s="798">
        <f>J23*C23</f>
        <v>100594.76007175</v>
      </c>
      <c r="K25" s="799"/>
      <c r="L25" s="297"/>
      <c r="M25" s="288"/>
    </row>
    <row r="26" spans="1:13" ht="12.75">
      <c r="A26" s="828">
        <v>7</v>
      </c>
      <c r="B26" s="872" t="str">
        <f>GERAL!B13</f>
        <v>VIDROS</v>
      </c>
      <c r="C26" s="823">
        <f>GERAL!C13</f>
        <v>1341.388575</v>
      </c>
      <c r="D26" s="859">
        <f>C26/C60</f>
        <v>0.0009319585709327066</v>
      </c>
      <c r="E26" s="293"/>
      <c r="F26" s="800"/>
      <c r="G26" s="801"/>
      <c r="H26" s="800"/>
      <c r="I26" s="801"/>
      <c r="J26" s="800">
        <v>1</v>
      </c>
      <c r="K26" s="801"/>
      <c r="L26" s="293"/>
      <c r="M26" s="309"/>
    </row>
    <row r="27" spans="1:13" ht="12.75">
      <c r="A27" s="829"/>
      <c r="B27" s="845"/>
      <c r="C27" s="824"/>
      <c r="D27" s="860"/>
      <c r="E27" s="298"/>
      <c r="F27" s="810"/>
      <c r="G27" s="805"/>
      <c r="H27" s="810"/>
      <c r="I27" s="805"/>
      <c r="J27" s="815"/>
      <c r="K27" s="816"/>
      <c r="L27" s="298"/>
      <c r="M27" s="325"/>
    </row>
    <row r="28" spans="1:13" ht="13.5" thickBot="1">
      <c r="A28" s="830"/>
      <c r="B28" s="846"/>
      <c r="C28" s="825"/>
      <c r="D28" s="860"/>
      <c r="E28" s="297"/>
      <c r="F28" s="798"/>
      <c r="G28" s="799"/>
      <c r="H28" s="798"/>
      <c r="I28" s="799"/>
      <c r="J28" s="798">
        <f>J26*C26</f>
        <v>1341.388575</v>
      </c>
      <c r="K28" s="799"/>
      <c r="L28" s="297"/>
      <c r="M28" s="288"/>
    </row>
    <row r="29" spans="1:13" ht="12.75">
      <c r="A29" s="828">
        <v>8</v>
      </c>
      <c r="B29" s="872" t="str">
        <f>GERAL!B14</f>
        <v>PINTURA</v>
      </c>
      <c r="C29" s="823">
        <f>GERAL!C14</f>
        <v>37914.94107142857</v>
      </c>
      <c r="D29" s="859">
        <f>C29/C60</f>
        <v>0.02634222100626312</v>
      </c>
      <c r="E29" s="293"/>
      <c r="F29" s="800"/>
      <c r="G29" s="801"/>
      <c r="H29" s="800"/>
      <c r="I29" s="801"/>
      <c r="J29" s="800"/>
      <c r="K29" s="801"/>
      <c r="L29" s="293">
        <v>0.5</v>
      </c>
      <c r="M29" s="309">
        <v>0.5</v>
      </c>
    </row>
    <row r="30" spans="1:13" ht="12.75">
      <c r="A30" s="829"/>
      <c r="B30" s="845"/>
      <c r="C30" s="824"/>
      <c r="D30" s="860"/>
      <c r="E30" s="298"/>
      <c r="F30" s="810"/>
      <c r="G30" s="805"/>
      <c r="H30" s="810"/>
      <c r="I30" s="805"/>
      <c r="J30" s="810"/>
      <c r="K30" s="805"/>
      <c r="L30" s="295"/>
      <c r="M30" s="496"/>
    </row>
    <row r="31" spans="1:13" ht="13.5" thickBot="1">
      <c r="A31" s="830"/>
      <c r="B31" s="846"/>
      <c r="C31" s="825"/>
      <c r="D31" s="860"/>
      <c r="E31" s="297"/>
      <c r="F31" s="798"/>
      <c r="G31" s="799"/>
      <c r="H31" s="798"/>
      <c r="I31" s="799"/>
      <c r="J31" s="798"/>
      <c r="K31" s="799"/>
      <c r="L31" s="297">
        <f>L29*C29</f>
        <v>18957.470535714285</v>
      </c>
      <c r="M31" s="288">
        <f>M29*C29</f>
        <v>18957.470535714285</v>
      </c>
    </row>
    <row r="32" spans="1:13" ht="12.75">
      <c r="A32" s="828">
        <v>9</v>
      </c>
      <c r="B32" s="826" t="str">
        <f>GERAL!B15</f>
        <v>COBERTURA</v>
      </c>
      <c r="C32" s="823">
        <f>GERAL!C15</f>
        <v>208257.90007315323</v>
      </c>
      <c r="D32" s="859">
        <f>C32/C60</f>
        <v>0.14469165650797516</v>
      </c>
      <c r="E32" s="293">
        <v>0.25</v>
      </c>
      <c r="F32" s="800">
        <v>0.25</v>
      </c>
      <c r="G32" s="801"/>
      <c r="H32" s="800">
        <v>0.25</v>
      </c>
      <c r="I32" s="801"/>
      <c r="J32" s="800">
        <v>0.25</v>
      </c>
      <c r="K32" s="801"/>
      <c r="L32" s="468"/>
      <c r="M32" s="309"/>
    </row>
    <row r="33" spans="1:13" ht="12.75">
      <c r="A33" s="829"/>
      <c r="B33" s="827"/>
      <c r="C33" s="824"/>
      <c r="D33" s="860"/>
      <c r="E33" s="295"/>
      <c r="F33" s="838"/>
      <c r="G33" s="838"/>
      <c r="H33" s="838"/>
      <c r="I33" s="838"/>
      <c r="J33" s="838"/>
      <c r="K33" s="837"/>
      <c r="M33" s="325"/>
    </row>
    <row r="34" spans="1:13" ht="13.5" thickBot="1">
      <c r="A34" s="829"/>
      <c r="B34" s="831"/>
      <c r="C34" s="825"/>
      <c r="D34" s="873"/>
      <c r="E34" s="296">
        <f>E32*C32</f>
        <v>52064.47501828831</v>
      </c>
      <c r="F34" s="814">
        <f>F32*C32</f>
        <v>52064.47501828831</v>
      </c>
      <c r="G34" s="803"/>
      <c r="H34" s="814">
        <f>H32*C32</f>
        <v>52064.47501828831</v>
      </c>
      <c r="I34" s="803"/>
      <c r="J34" s="814">
        <f>J32*C32</f>
        <v>52064.47501828831</v>
      </c>
      <c r="K34" s="803"/>
      <c r="L34" s="469"/>
      <c r="M34" s="290"/>
    </row>
    <row r="35" spans="1:13" ht="12.75">
      <c r="A35" s="828">
        <v>10</v>
      </c>
      <c r="B35" s="826" t="str">
        <f>GERAL!B16</f>
        <v>REVESTIMENTO</v>
      </c>
      <c r="C35" s="823">
        <f>GERAL!C16</f>
        <v>150101.76885015</v>
      </c>
      <c r="D35" s="819">
        <f>C35/C60</f>
        <v>0.10428643317769218</v>
      </c>
      <c r="E35" s="297"/>
      <c r="F35" s="813"/>
      <c r="G35" s="812"/>
      <c r="H35" s="800">
        <v>0.45</v>
      </c>
      <c r="I35" s="801"/>
      <c r="J35" s="800">
        <v>0.45</v>
      </c>
      <c r="K35" s="801"/>
      <c r="L35" s="293">
        <v>0.1</v>
      </c>
      <c r="M35" s="288"/>
    </row>
    <row r="36" spans="1:13" ht="12.75">
      <c r="A36" s="829"/>
      <c r="B36" s="827"/>
      <c r="C36" s="824"/>
      <c r="D36" s="820"/>
      <c r="E36" s="297"/>
      <c r="F36" s="798"/>
      <c r="G36" s="799"/>
      <c r="H36" s="815"/>
      <c r="I36" s="816"/>
      <c r="J36" s="815"/>
      <c r="K36" s="816"/>
      <c r="L36" s="295"/>
      <c r="M36" s="288"/>
    </row>
    <row r="37" spans="1:13" ht="13.5" thickBot="1">
      <c r="A37" s="830"/>
      <c r="B37" s="831"/>
      <c r="C37" s="825"/>
      <c r="D37" s="821"/>
      <c r="E37" s="296"/>
      <c r="F37" s="814"/>
      <c r="G37" s="803"/>
      <c r="H37" s="814">
        <f>H35*C35</f>
        <v>67545.7959825675</v>
      </c>
      <c r="I37" s="803"/>
      <c r="J37" s="814">
        <f>J35*C35</f>
        <v>67545.7959825675</v>
      </c>
      <c r="K37" s="803"/>
      <c r="L37" s="296">
        <f>L35*C35</f>
        <v>15010.176885015</v>
      </c>
      <c r="M37" s="290"/>
    </row>
    <row r="38" spans="1:13" ht="12.75">
      <c r="A38" s="828">
        <v>11</v>
      </c>
      <c r="B38" s="826" t="str">
        <f>GERAL!B17</f>
        <v>INSTALAÇÕES ELÉTRICAS</v>
      </c>
      <c r="C38" s="823">
        <f>GERAL!C17</f>
        <v>208745.30000000002</v>
      </c>
      <c r="D38" s="819">
        <f>C38/C60</f>
        <v>0.14503028809300775</v>
      </c>
      <c r="E38" s="289"/>
      <c r="F38" s="818">
        <v>0.2</v>
      </c>
      <c r="G38" s="801"/>
      <c r="H38" s="800">
        <v>0.2</v>
      </c>
      <c r="I38" s="801"/>
      <c r="J38" s="800">
        <v>0.2</v>
      </c>
      <c r="K38" s="801"/>
      <c r="L38" s="293">
        <v>0.2</v>
      </c>
      <c r="M38" s="309">
        <v>0.2</v>
      </c>
    </row>
    <row r="39" spans="1:13" ht="12.75">
      <c r="A39" s="829"/>
      <c r="B39" s="827"/>
      <c r="C39" s="824"/>
      <c r="D39" s="820"/>
      <c r="E39" s="288"/>
      <c r="F39" s="817"/>
      <c r="G39" s="816"/>
      <c r="H39" s="815"/>
      <c r="I39" s="816"/>
      <c r="J39" s="815"/>
      <c r="K39" s="816"/>
      <c r="L39" s="496"/>
      <c r="M39" s="496"/>
    </row>
    <row r="40" spans="1:13" ht="13.5" thickBot="1">
      <c r="A40" s="830"/>
      <c r="B40" s="831"/>
      <c r="C40" s="825"/>
      <c r="D40" s="821"/>
      <c r="E40" s="290"/>
      <c r="F40" s="802">
        <f>F38*C38</f>
        <v>41749.060000000005</v>
      </c>
      <c r="G40" s="803"/>
      <c r="H40" s="814">
        <f>H38*C38</f>
        <v>41749.060000000005</v>
      </c>
      <c r="I40" s="803"/>
      <c r="J40" s="814">
        <f>J38*C38</f>
        <v>41749.060000000005</v>
      </c>
      <c r="K40" s="803"/>
      <c r="L40" s="296">
        <f>L38*C38</f>
        <v>41749.060000000005</v>
      </c>
      <c r="M40" s="290">
        <f>M38*C38</f>
        <v>41749.060000000005</v>
      </c>
    </row>
    <row r="41" spans="1:13" ht="12.75">
      <c r="A41" s="828">
        <v>12</v>
      </c>
      <c r="B41" s="826" t="str">
        <f>GERAL!B18</f>
        <v>SPDA</v>
      </c>
      <c r="C41" s="823">
        <f>GERAL!C18</f>
        <v>22643.3875</v>
      </c>
      <c r="D41" s="819">
        <f>C41/C60</f>
        <v>0.015731980612385572</v>
      </c>
      <c r="E41" s="299"/>
      <c r="F41" s="813"/>
      <c r="G41" s="812"/>
      <c r="H41" s="813"/>
      <c r="I41" s="812"/>
      <c r="J41" s="813"/>
      <c r="K41" s="812"/>
      <c r="L41" s="293">
        <v>0.3</v>
      </c>
      <c r="M41" s="309">
        <v>0.7</v>
      </c>
    </row>
    <row r="42" spans="1:13" ht="12.75">
      <c r="A42" s="829"/>
      <c r="B42" s="827"/>
      <c r="C42" s="824"/>
      <c r="D42" s="820"/>
      <c r="E42" s="297"/>
      <c r="F42" s="798"/>
      <c r="G42" s="799"/>
      <c r="H42" s="798"/>
      <c r="I42" s="799"/>
      <c r="J42" s="798"/>
      <c r="K42" s="799"/>
      <c r="L42" s="496"/>
      <c r="M42" s="496"/>
    </row>
    <row r="43" spans="1:13" ht="13.5" thickBot="1">
      <c r="A43" s="830"/>
      <c r="B43" s="827"/>
      <c r="C43" s="825"/>
      <c r="D43" s="821"/>
      <c r="E43" s="296"/>
      <c r="F43" s="814"/>
      <c r="G43" s="803"/>
      <c r="H43" s="814"/>
      <c r="I43" s="803"/>
      <c r="J43" s="814"/>
      <c r="K43" s="803"/>
      <c r="L43" s="296">
        <f>L41*C41</f>
        <v>6793.01625</v>
      </c>
      <c r="M43" s="290">
        <f>M41*C41</f>
        <v>15850.37125</v>
      </c>
    </row>
    <row r="44" spans="1:13" ht="12.75">
      <c r="A44" s="828">
        <v>13</v>
      </c>
      <c r="B44" s="826" t="str">
        <f>GERAL!B19</f>
        <v>INSTALAÇÕES DE TELECOMUNICAÇÕES</v>
      </c>
      <c r="C44" s="823">
        <f>GERAL!C19</f>
        <v>62844.917708333334</v>
      </c>
      <c r="D44" s="819">
        <f>C44/C60</f>
        <v>0.04366285861488114</v>
      </c>
      <c r="E44" s="289"/>
      <c r="F44" s="811"/>
      <c r="G44" s="812"/>
      <c r="H44" s="813"/>
      <c r="I44" s="812"/>
      <c r="J44" s="800">
        <f>1/3</f>
        <v>0.3333333333333333</v>
      </c>
      <c r="K44" s="801"/>
      <c r="L44" s="309">
        <f>1/3</f>
        <v>0.3333333333333333</v>
      </c>
      <c r="M44" s="309">
        <f>1/3</f>
        <v>0.3333333333333333</v>
      </c>
    </row>
    <row r="45" spans="1:13" ht="12.75">
      <c r="A45" s="829"/>
      <c r="B45" s="827"/>
      <c r="C45" s="824"/>
      <c r="D45" s="820"/>
      <c r="E45" s="288"/>
      <c r="F45" s="804"/>
      <c r="G45" s="805"/>
      <c r="H45" s="810"/>
      <c r="I45" s="805"/>
      <c r="J45" s="815"/>
      <c r="K45" s="816"/>
      <c r="L45" s="496"/>
      <c r="M45" s="496"/>
    </row>
    <row r="46" spans="1:13" ht="13.5" thickBot="1">
      <c r="A46" s="830"/>
      <c r="B46" s="831"/>
      <c r="C46" s="825"/>
      <c r="D46" s="821"/>
      <c r="E46" s="290"/>
      <c r="F46" s="802"/>
      <c r="G46" s="803"/>
      <c r="H46" s="814"/>
      <c r="I46" s="803"/>
      <c r="J46" s="814">
        <f>J44*C44</f>
        <v>20948.305902777778</v>
      </c>
      <c r="K46" s="803"/>
      <c r="L46" s="296">
        <f>L44*C44</f>
        <v>20948.305902777778</v>
      </c>
      <c r="M46" s="290">
        <f>M44*C44</f>
        <v>20948.305902777778</v>
      </c>
    </row>
    <row r="47" spans="1:13" ht="12.75">
      <c r="A47" s="828">
        <v>14</v>
      </c>
      <c r="B47" s="826" t="str">
        <f>GERAL!B20</f>
        <v>INSTALAÇÕES HIDROSSANITÁRIAS</v>
      </c>
      <c r="C47" s="823">
        <f>GERAL!C20</f>
        <v>12345.6576967</v>
      </c>
      <c r="D47" s="819">
        <f>C47/C60</f>
        <v>0.008577411287583766</v>
      </c>
      <c r="E47" s="289"/>
      <c r="F47" s="811"/>
      <c r="G47" s="812"/>
      <c r="H47" s="813"/>
      <c r="I47" s="812"/>
      <c r="J47" s="800">
        <f>1/3</f>
        <v>0.3333333333333333</v>
      </c>
      <c r="K47" s="801"/>
      <c r="L47" s="309">
        <f>1/3</f>
        <v>0.3333333333333333</v>
      </c>
      <c r="M47" s="309">
        <f>1/3</f>
        <v>0.3333333333333333</v>
      </c>
    </row>
    <row r="48" spans="1:13" ht="12.75">
      <c r="A48" s="829"/>
      <c r="B48" s="827"/>
      <c r="C48" s="824"/>
      <c r="D48" s="820"/>
      <c r="E48" s="288"/>
      <c r="F48" s="804"/>
      <c r="G48" s="805"/>
      <c r="H48" s="810"/>
      <c r="I48" s="805"/>
      <c r="J48" s="815"/>
      <c r="K48" s="816"/>
      <c r="L48" s="496"/>
      <c r="M48" s="496"/>
    </row>
    <row r="49" spans="1:13" ht="13.5" thickBot="1">
      <c r="A49" s="830"/>
      <c r="B49" s="827"/>
      <c r="C49" s="825"/>
      <c r="D49" s="821"/>
      <c r="E49" s="290"/>
      <c r="F49" s="802"/>
      <c r="G49" s="803"/>
      <c r="H49" s="814"/>
      <c r="I49" s="803"/>
      <c r="J49" s="814">
        <f>J47*C47</f>
        <v>4115.219232233333</v>
      </c>
      <c r="K49" s="803"/>
      <c r="L49" s="296">
        <f>L47*C47</f>
        <v>4115.219232233333</v>
      </c>
      <c r="M49" s="290">
        <f>M47*C47</f>
        <v>4115.219232233333</v>
      </c>
    </row>
    <row r="50" spans="1:13" ht="12.75">
      <c r="A50" s="829">
        <v>15</v>
      </c>
      <c r="B50" s="826" t="str">
        <f>GERAL!B21</f>
        <v>INSTALAÇÕES DE COMBATE A INCÊNDIO</v>
      </c>
      <c r="C50" s="823">
        <f>GERAL!C21</f>
        <v>52711.258499999996</v>
      </c>
      <c r="D50" s="819">
        <f>C50/C60</f>
        <v>0.036622280865724895</v>
      </c>
      <c r="E50" s="299"/>
      <c r="F50" s="813"/>
      <c r="G50" s="812"/>
      <c r="H50" s="813"/>
      <c r="I50" s="812"/>
      <c r="J50" s="800">
        <f>1/3</f>
        <v>0.3333333333333333</v>
      </c>
      <c r="K50" s="801"/>
      <c r="L50" s="309">
        <f>1/3</f>
        <v>0.3333333333333333</v>
      </c>
      <c r="M50" s="309">
        <f>1/3</f>
        <v>0.3333333333333333</v>
      </c>
    </row>
    <row r="51" spans="1:13" ht="12.75">
      <c r="A51" s="829"/>
      <c r="B51" s="827"/>
      <c r="C51" s="824"/>
      <c r="D51" s="820"/>
      <c r="E51" s="297"/>
      <c r="F51" s="798"/>
      <c r="G51" s="799"/>
      <c r="H51" s="798"/>
      <c r="I51" s="799"/>
      <c r="J51" s="815"/>
      <c r="K51" s="816"/>
      <c r="L51" s="496"/>
      <c r="M51" s="496"/>
    </row>
    <row r="52" spans="1:13" ht="13.5" thickBot="1">
      <c r="A52" s="829"/>
      <c r="B52" s="827"/>
      <c r="C52" s="825"/>
      <c r="D52" s="821"/>
      <c r="E52" s="296"/>
      <c r="F52" s="814"/>
      <c r="G52" s="803"/>
      <c r="H52" s="814"/>
      <c r="I52" s="803"/>
      <c r="J52" s="814">
        <f>J50*C50</f>
        <v>17570.419499999996</v>
      </c>
      <c r="K52" s="803"/>
      <c r="L52" s="296">
        <f>L50*C50</f>
        <v>17570.419499999996</v>
      </c>
      <c r="M52" s="290">
        <f>M50*C50</f>
        <v>17570.419499999996</v>
      </c>
    </row>
    <row r="53" spans="1:13" ht="12.75">
      <c r="A53" s="828">
        <v>16</v>
      </c>
      <c r="B53" s="826" t="str">
        <f>GERAL!B22</f>
        <v>CLIMATIZAÇÃO</v>
      </c>
      <c r="C53" s="823">
        <f>GERAL!C22</f>
        <v>95135.15311666668</v>
      </c>
      <c r="D53" s="819">
        <f>C53/C60</f>
        <v>0.06609719435255583</v>
      </c>
      <c r="E53" s="299"/>
      <c r="F53" s="813"/>
      <c r="G53" s="812"/>
      <c r="H53" s="813"/>
      <c r="I53" s="812"/>
      <c r="J53" s="800">
        <v>0.5</v>
      </c>
      <c r="K53" s="801"/>
      <c r="L53" s="294">
        <v>0.25</v>
      </c>
      <c r="M53" s="294">
        <v>0.25</v>
      </c>
    </row>
    <row r="54" spans="1:13" ht="12.75">
      <c r="A54" s="829"/>
      <c r="B54" s="827"/>
      <c r="C54" s="824"/>
      <c r="D54" s="820"/>
      <c r="E54" s="297"/>
      <c r="F54" s="798"/>
      <c r="G54" s="799"/>
      <c r="H54" s="798"/>
      <c r="I54" s="799"/>
      <c r="J54" s="815"/>
      <c r="K54" s="816"/>
      <c r="L54" s="497"/>
      <c r="M54" s="497"/>
    </row>
    <row r="55" spans="1:13" ht="13.5" thickBot="1">
      <c r="A55" s="830"/>
      <c r="B55" s="831"/>
      <c r="C55" s="825"/>
      <c r="D55" s="821"/>
      <c r="E55" s="297"/>
      <c r="F55" s="798"/>
      <c r="G55" s="799"/>
      <c r="H55" s="798"/>
      <c r="I55" s="799"/>
      <c r="J55" s="798">
        <f>J53*C53</f>
        <v>47567.57655833334</v>
      </c>
      <c r="K55" s="799"/>
      <c r="L55" s="290">
        <f>L53*C53</f>
        <v>23783.78827916667</v>
      </c>
      <c r="M55" s="467">
        <f>M53*C53</f>
        <v>23783.78827916667</v>
      </c>
    </row>
    <row r="56" spans="1:13" ht="12.75">
      <c r="A56" s="867">
        <v>17</v>
      </c>
      <c r="B56" s="826" t="str">
        <f>GERAL!B23</f>
        <v>SERVIÇOS COMPLEMENTARES</v>
      </c>
      <c r="C56" s="857">
        <f>GERAL!C23</f>
        <v>29548.775808723436</v>
      </c>
      <c r="D56" s="859">
        <f>C56/C60</f>
        <v>0.020529647701456547</v>
      </c>
      <c r="E56" s="293"/>
      <c r="F56" s="800"/>
      <c r="G56" s="818"/>
      <c r="H56" s="800"/>
      <c r="I56" s="818"/>
      <c r="J56" s="800"/>
      <c r="K56" s="801"/>
      <c r="L56" s="294">
        <v>0.5</v>
      </c>
      <c r="M56" s="309">
        <v>0.5</v>
      </c>
    </row>
    <row r="57" spans="1:13" ht="12.75">
      <c r="A57" s="854"/>
      <c r="B57" s="827"/>
      <c r="C57" s="858"/>
      <c r="D57" s="860"/>
      <c r="E57" s="331"/>
      <c r="F57" s="839"/>
      <c r="G57" s="840"/>
      <c r="H57" s="839"/>
      <c r="I57" s="840"/>
      <c r="J57" s="810"/>
      <c r="K57" s="805"/>
      <c r="L57" s="496"/>
      <c r="M57" s="496"/>
    </row>
    <row r="58" spans="1:13" ht="13.5" thickBot="1">
      <c r="A58" s="868"/>
      <c r="B58" s="831"/>
      <c r="C58" s="861"/>
      <c r="D58" s="862"/>
      <c r="E58" s="296"/>
      <c r="F58" s="814"/>
      <c r="G58" s="802"/>
      <c r="H58" s="814"/>
      <c r="I58" s="802"/>
      <c r="J58" s="814"/>
      <c r="K58" s="803"/>
      <c r="L58" s="291">
        <f>L56*C56</f>
        <v>14774.387904361718</v>
      </c>
      <c r="M58" s="290">
        <f>M56*C56</f>
        <v>14774.387904361718</v>
      </c>
    </row>
    <row r="59" spans="1:13" ht="19.5" customHeight="1">
      <c r="A59" s="863" t="s">
        <v>10</v>
      </c>
      <c r="B59" s="864"/>
      <c r="C59" s="68">
        <f>SUM(C8:C58)</f>
        <v>1439322.1081249726</v>
      </c>
      <c r="D59" s="329">
        <f>SUM(D8:D58)</f>
        <v>1</v>
      </c>
      <c r="E59" s="113">
        <f>SUM(E10,E13,E16,E19,E22,E25,E28,E31,E34,E37,E40,E43,E46,E49,E52,E55,E58)</f>
        <v>155646.8458379502</v>
      </c>
      <c r="F59" s="832">
        <f>SUM(F10,F13,F16,F19,F22,F25,F28,F31,F34,F37,F40,F43,F46,F49,F52,F55,F58)</f>
        <v>171291.7801227481</v>
      </c>
      <c r="G59" s="833"/>
      <c r="H59" s="832">
        <f>SUM(H10,H13,H16,H19,H22,H25,H28,H31,H34,H37,H40,H43,H46,H49,H52,H55,H58)</f>
        <v>318818.33403644065</v>
      </c>
      <c r="I59" s="833"/>
      <c r="J59" s="832">
        <f>SUM(J10,J13,J16,J19,J22,J25,J28,J31,J34,J37,J40,J43,J46,J49,J52,J55,J58)</f>
        <v>391047.8442387372</v>
      </c>
      <c r="K59" s="833"/>
      <c r="L59" s="113">
        <f>SUM(L10,L13,L16,L19,L22,L25,L28,L31,L34,L37,L40,L43,L46,L49,L52,L55,L58)</f>
        <v>203042.11288705567</v>
      </c>
      <c r="M59" s="113">
        <f>SUM(M10,M13,M16,M19,M22,M25,M28,M31,M34,M37,M40,M43,M46,M49,M52,M55,M58)</f>
        <v>199475.19100204064</v>
      </c>
    </row>
    <row r="60" spans="1:13" ht="19.5" customHeight="1" thickBot="1">
      <c r="A60" s="865" t="s">
        <v>19</v>
      </c>
      <c r="B60" s="866"/>
      <c r="C60" s="69">
        <f>C59</f>
        <v>1439322.1081249726</v>
      </c>
      <c r="D60" s="330">
        <f>D59</f>
        <v>1</v>
      </c>
      <c r="E60" s="114">
        <f>E59</f>
        <v>155646.8458379502</v>
      </c>
      <c r="F60" s="834">
        <f>F59+E60</f>
        <v>326938.62596069835</v>
      </c>
      <c r="G60" s="835"/>
      <c r="H60" s="834">
        <f>H59+F60</f>
        <v>645756.9599971389</v>
      </c>
      <c r="I60" s="835"/>
      <c r="J60" s="834">
        <f>J59+H60</f>
        <v>1036804.8042358761</v>
      </c>
      <c r="K60" s="835"/>
      <c r="L60" s="114">
        <f>SUM(L59,J60)</f>
        <v>1239846.9171229317</v>
      </c>
      <c r="M60" s="114">
        <f>SUM(M59,L60)</f>
        <v>1439322.1081249723</v>
      </c>
    </row>
    <row r="61" spans="1:13" ht="15" customHeight="1">
      <c r="A61" s="310"/>
      <c r="B61" s="311"/>
      <c r="C61" s="312"/>
      <c r="D61" s="313"/>
      <c r="E61" s="314"/>
      <c r="F61" s="314"/>
      <c r="G61" s="314"/>
      <c r="H61" s="307"/>
      <c r="I61" s="307"/>
      <c r="J61" s="307"/>
      <c r="K61" s="307"/>
      <c r="L61" s="307"/>
      <c r="M61" s="308"/>
    </row>
    <row r="62" spans="1:13" ht="15" customHeight="1">
      <c r="A62" s="37"/>
      <c r="B62" s="38"/>
      <c r="C62" s="39"/>
      <c r="D62" s="35"/>
      <c r="E62" s="36"/>
      <c r="F62" s="36"/>
      <c r="G62" s="40"/>
      <c r="H62" s="93"/>
      <c r="I62" s="93"/>
      <c r="J62" s="93"/>
      <c r="K62" s="93"/>
      <c r="L62" s="93"/>
      <c r="M62" s="315"/>
    </row>
    <row r="63" spans="1:13" ht="24.75" customHeight="1">
      <c r="A63" s="319"/>
      <c r="B63" s="809" t="s">
        <v>37</v>
      </c>
      <c r="C63" s="35"/>
      <c r="D63" s="35"/>
      <c r="E63" s="93"/>
      <c r="F63" s="93"/>
      <c r="G63" s="35"/>
      <c r="H63" s="35"/>
      <c r="I63" s="809" t="s">
        <v>20</v>
      </c>
      <c r="J63" s="809"/>
      <c r="K63" s="809"/>
      <c r="L63" s="809"/>
      <c r="M63" s="315"/>
    </row>
    <row r="64" spans="1:13" ht="24.75" customHeight="1">
      <c r="A64" s="318"/>
      <c r="B64" s="809"/>
      <c r="C64" s="35"/>
      <c r="D64" s="35"/>
      <c r="E64" s="35"/>
      <c r="F64" s="35"/>
      <c r="G64" s="35"/>
      <c r="H64" s="35"/>
      <c r="I64" s="809"/>
      <c r="J64" s="809"/>
      <c r="K64" s="809"/>
      <c r="L64" s="809"/>
      <c r="M64" s="315"/>
    </row>
    <row r="65" spans="1:13" ht="15" customHeight="1" thickBot="1">
      <c r="A65" s="41"/>
      <c r="B65" s="42"/>
      <c r="C65" s="43"/>
      <c r="D65" s="44"/>
      <c r="E65" s="45"/>
      <c r="F65" s="45"/>
      <c r="G65" s="45"/>
      <c r="H65" s="316"/>
      <c r="I65" s="316"/>
      <c r="J65" s="316"/>
      <c r="K65" s="316"/>
      <c r="L65" s="316"/>
      <c r="M65" s="317"/>
    </row>
  </sheetData>
  <sheetProtection password="E5F2" sheet="1" objects="1" scenarios="1" selectLockedCells="1" selectUnlockedCells="1"/>
  <mergeCells count="240">
    <mergeCell ref="J33:K33"/>
    <mergeCell ref="D32:D34"/>
    <mergeCell ref="C29:C31"/>
    <mergeCell ref="B29:B31"/>
    <mergeCell ref="A29:A31"/>
    <mergeCell ref="A32:A34"/>
    <mergeCell ref="B32:B34"/>
    <mergeCell ref="C32:C34"/>
    <mergeCell ref="F33:G33"/>
    <mergeCell ref="F34:G34"/>
    <mergeCell ref="B26:B28"/>
    <mergeCell ref="C26:C28"/>
    <mergeCell ref="D26:D28"/>
    <mergeCell ref="F26:G26"/>
    <mergeCell ref="F27:G27"/>
    <mergeCell ref="F28:G28"/>
    <mergeCell ref="D29:D31"/>
    <mergeCell ref="A23:A25"/>
    <mergeCell ref="B23:B25"/>
    <mergeCell ref="C23:C25"/>
    <mergeCell ref="D23:D25"/>
    <mergeCell ref="F23:G23"/>
    <mergeCell ref="F24:G24"/>
    <mergeCell ref="F25:G25"/>
    <mergeCell ref="F29:G29"/>
    <mergeCell ref="A26:A28"/>
    <mergeCell ref="F18:G18"/>
    <mergeCell ref="F19:G19"/>
    <mergeCell ref="A20:A22"/>
    <mergeCell ref="B20:B22"/>
    <mergeCell ref="C20:C22"/>
    <mergeCell ref="D20:D22"/>
    <mergeCell ref="F20:G20"/>
    <mergeCell ref="F21:G21"/>
    <mergeCell ref="F22:G22"/>
    <mergeCell ref="B63:B64"/>
    <mergeCell ref="A11:A13"/>
    <mergeCell ref="B11:B13"/>
    <mergeCell ref="C11:C13"/>
    <mergeCell ref="D11:D13"/>
    <mergeCell ref="F11:G11"/>
    <mergeCell ref="F12:G12"/>
    <mergeCell ref="F13:G13"/>
    <mergeCell ref="A17:A19"/>
    <mergeCell ref="B17:B19"/>
    <mergeCell ref="F10:G10"/>
    <mergeCell ref="B56:B58"/>
    <mergeCell ref="C56:C58"/>
    <mergeCell ref="D56:D58"/>
    <mergeCell ref="A59:B59"/>
    <mergeCell ref="A60:B60"/>
    <mergeCell ref="A56:A58"/>
    <mergeCell ref="C17:C19"/>
    <mergeCell ref="D17:D19"/>
    <mergeCell ref="F17:G17"/>
    <mergeCell ref="F8:G8"/>
    <mergeCell ref="F7:G7"/>
    <mergeCell ref="A6:A7"/>
    <mergeCell ref="B6:B7"/>
    <mergeCell ref="C6:C7"/>
    <mergeCell ref="D6:D7"/>
    <mergeCell ref="A8:A10"/>
    <mergeCell ref="B8:B10"/>
    <mergeCell ref="C8:C10"/>
    <mergeCell ref="D8:D10"/>
    <mergeCell ref="F60:G60"/>
    <mergeCell ref="F9:G9"/>
    <mergeCell ref="F30:G30"/>
    <mergeCell ref="F31:G31"/>
    <mergeCell ref="F56:G56"/>
    <mergeCell ref="F57:G57"/>
    <mergeCell ref="F58:G58"/>
    <mergeCell ref="F59:G59"/>
    <mergeCell ref="F32:G32"/>
    <mergeCell ref="F52:G52"/>
    <mergeCell ref="A14:A16"/>
    <mergeCell ref="B14:B16"/>
    <mergeCell ref="C14:C16"/>
    <mergeCell ref="D14:D16"/>
    <mergeCell ref="F15:G15"/>
    <mergeCell ref="F14:G14"/>
    <mergeCell ref="F16:G16"/>
    <mergeCell ref="H7:I7"/>
    <mergeCell ref="H8:I8"/>
    <mergeCell ref="H9:I9"/>
    <mergeCell ref="H10:I10"/>
    <mergeCell ref="H11:I11"/>
    <mergeCell ref="H12:I12"/>
    <mergeCell ref="J7:K7"/>
    <mergeCell ref="J8:K8"/>
    <mergeCell ref="J9:K9"/>
    <mergeCell ref="H13:I13"/>
    <mergeCell ref="H14:I14"/>
    <mergeCell ref="H15:I15"/>
    <mergeCell ref="J10:K10"/>
    <mergeCell ref="J11:K11"/>
    <mergeCell ref="J12:K12"/>
    <mergeCell ref="J14:K14"/>
    <mergeCell ref="H16:I16"/>
    <mergeCell ref="H17:I17"/>
    <mergeCell ref="H18:I18"/>
    <mergeCell ref="H27:I27"/>
    <mergeCell ref="H28:I28"/>
    <mergeCell ref="H29:I29"/>
    <mergeCell ref="H22:I22"/>
    <mergeCell ref="H23:I23"/>
    <mergeCell ref="H24:I24"/>
    <mergeCell ref="H19:I19"/>
    <mergeCell ref="H20:I20"/>
    <mergeCell ref="H21:I21"/>
    <mergeCell ref="H57:I57"/>
    <mergeCell ref="H35:I35"/>
    <mergeCell ref="H36:I36"/>
    <mergeCell ref="H42:I42"/>
    <mergeCell ref="H44:I44"/>
    <mergeCell ref="H25:I25"/>
    <mergeCell ref="H26:I26"/>
    <mergeCell ref="H31:I31"/>
    <mergeCell ref="H32:I32"/>
    <mergeCell ref="H33:I33"/>
    <mergeCell ref="H34:I34"/>
    <mergeCell ref="H56:I56"/>
    <mergeCell ref="H30:I30"/>
    <mergeCell ref="H52:I52"/>
    <mergeCell ref="H38:I38"/>
    <mergeCell ref="H39:I39"/>
    <mergeCell ref="H41:I41"/>
    <mergeCell ref="H50:I50"/>
    <mergeCell ref="J15:K15"/>
    <mergeCell ref="J16:K16"/>
    <mergeCell ref="J13:K13"/>
    <mergeCell ref="J17:K17"/>
    <mergeCell ref="J18:K18"/>
    <mergeCell ref="J19:K19"/>
    <mergeCell ref="J20:K20"/>
    <mergeCell ref="J21:K21"/>
    <mergeCell ref="J22:K22"/>
    <mergeCell ref="J23:K23"/>
    <mergeCell ref="J24:K24"/>
    <mergeCell ref="J25:K25"/>
    <mergeCell ref="J26:K26"/>
    <mergeCell ref="J27:K27"/>
    <mergeCell ref="J28:K28"/>
    <mergeCell ref="J29:K29"/>
    <mergeCell ref="J31:K31"/>
    <mergeCell ref="J30:K30"/>
    <mergeCell ref="J34:K34"/>
    <mergeCell ref="J56:K56"/>
    <mergeCell ref="J51:K51"/>
    <mergeCell ref="J50:K50"/>
    <mergeCell ref="J42:K42"/>
    <mergeCell ref="J43:K43"/>
    <mergeCell ref="J36:K36"/>
    <mergeCell ref="J38:K38"/>
    <mergeCell ref="J39:K39"/>
    <mergeCell ref="J41:K41"/>
    <mergeCell ref="J57:K57"/>
    <mergeCell ref="J58:K58"/>
    <mergeCell ref="J55:K55"/>
    <mergeCell ref="J54:K54"/>
    <mergeCell ref="J53:K53"/>
    <mergeCell ref="J52:K52"/>
    <mergeCell ref="J59:K59"/>
    <mergeCell ref="J60:K60"/>
    <mergeCell ref="B53:B55"/>
    <mergeCell ref="A35:A37"/>
    <mergeCell ref="B35:B37"/>
    <mergeCell ref="A38:A40"/>
    <mergeCell ref="B38:B40"/>
    <mergeCell ref="H58:I58"/>
    <mergeCell ref="H59:I59"/>
    <mergeCell ref="H60:I60"/>
    <mergeCell ref="D47:D49"/>
    <mergeCell ref="A41:A43"/>
    <mergeCell ref="B41:B43"/>
    <mergeCell ref="A44:A46"/>
    <mergeCell ref="B44:B46"/>
    <mergeCell ref="C35:C37"/>
    <mergeCell ref="C38:C40"/>
    <mergeCell ref="C41:C43"/>
    <mergeCell ref="C44:C46"/>
    <mergeCell ref="J32:K32"/>
    <mergeCell ref="B47:B49"/>
    <mergeCell ref="A47:A49"/>
    <mergeCell ref="A50:A52"/>
    <mergeCell ref="B50:B52"/>
    <mergeCell ref="A53:A55"/>
    <mergeCell ref="D35:D37"/>
    <mergeCell ref="D38:D40"/>
    <mergeCell ref="D41:D43"/>
    <mergeCell ref="D44:D46"/>
    <mergeCell ref="D50:D52"/>
    <mergeCell ref="D53:D55"/>
    <mergeCell ref="G5:K5"/>
    <mergeCell ref="C47:C49"/>
    <mergeCell ref="C50:C52"/>
    <mergeCell ref="C53:C55"/>
    <mergeCell ref="H37:I37"/>
    <mergeCell ref="H40:I40"/>
    <mergeCell ref="H43:I43"/>
    <mergeCell ref="F51:G51"/>
    <mergeCell ref="F37:G37"/>
    <mergeCell ref="F40:G40"/>
    <mergeCell ref="J37:K37"/>
    <mergeCell ref="F43:G43"/>
    <mergeCell ref="F42:G42"/>
    <mergeCell ref="F41:G41"/>
    <mergeCell ref="F39:G39"/>
    <mergeCell ref="F38:G38"/>
    <mergeCell ref="J40:K40"/>
    <mergeCell ref="J47:K47"/>
    <mergeCell ref="H47:I47"/>
    <mergeCell ref="F50:G50"/>
    <mergeCell ref="F55:G55"/>
    <mergeCell ref="F54:G54"/>
    <mergeCell ref="F53:G53"/>
    <mergeCell ref="H53:I53"/>
    <mergeCell ref="H54:I54"/>
    <mergeCell ref="H55:I55"/>
    <mergeCell ref="H51:I51"/>
    <mergeCell ref="F47:G47"/>
    <mergeCell ref="F35:G35"/>
    <mergeCell ref="H49:I49"/>
    <mergeCell ref="J44:K44"/>
    <mergeCell ref="J45:K45"/>
    <mergeCell ref="J46:K46"/>
    <mergeCell ref="H46:I46"/>
    <mergeCell ref="H48:I48"/>
    <mergeCell ref="J49:K49"/>
    <mergeCell ref="J48:K48"/>
    <mergeCell ref="F36:G36"/>
    <mergeCell ref="J35:K35"/>
    <mergeCell ref="F49:G49"/>
    <mergeCell ref="F48:G48"/>
    <mergeCell ref="E6:M6"/>
    <mergeCell ref="I63:L64"/>
    <mergeCell ref="H45:I45"/>
    <mergeCell ref="F44:G44"/>
    <mergeCell ref="F45:G45"/>
    <mergeCell ref="F46:G46"/>
  </mergeCells>
  <printOptions/>
  <pageMargins left="0.5905511811023623" right="0.1968503937007874" top="0.1968503937007874" bottom="0.1968503937007874" header="0.31496062992125984" footer="0.31496062992125984"/>
  <pageSetup fitToHeight="1" fitToWidth="1"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dimension ref="A1:IR21"/>
  <sheetViews>
    <sheetView zoomScalePageLayoutView="0" workbookViewId="0" topLeftCell="A1">
      <selection activeCell="C8" sqref="C8:F8"/>
    </sheetView>
  </sheetViews>
  <sheetFormatPr defaultColWidth="9.140625" defaultRowHeight="12.75"/>
  <cols>
    <col min="1" max="1" width="10.7109375" style="14" customWidth="1"/>
    <col min="2" max="2" width="60.7109375" style="14" customWidth="1"/>
    <col min="3" max="4" width="10.7109375" style="14" customWidth="1"/>
    <col min="5" max="5" width="15.7109375" style="14" customWidth="1"/>
    <col min="6" max="6" width="15.7109375" style="15" customWidth="1"/>
    <col min="7" max="7" width="20.7109375" style="14" customWidth="1"/>
    <col min="8" max="16384" width="9.140625" style="14" customWidth="1"/>
  </cols>
  <sheetData>
    <row r="1" spans="1:6" s="9" customFormat="1" ht="19.5" customHeight="1">
      <c r="A1" s="723"/>
      <c r="B1" s="724"/>
      <c r="C1" s="724"/>
      <c r="D1" s="724"/>
      <c r="E1" s="724"/>
      <c r="F1" s="725"/>
    </row>
    <row r="2" spans="1:6" s="9" customFormat="1" ht="19.5" customHeight="1">
      <c r="A2" s="726" t="s">
        <v>2</v>
      </c>
      <c r="B2" s="727"/>
      <c r="C2" s="727"/>
      <c r="D2" s="727"/>
      <c r="E2" s="727"/>
      <c r="F2" s="728"/>
    </row>
    <row r="3" spans="1:6" s="9" customFormat="1" ht="19.5" customHeight="1">
      <c r="A3" s="726" t="s">
        <v>3</v>
      </c>
      <c r="B3" s="727"/>
      <c r="C3" s="727"/>
      <c r="D3" s="727"/>
      <c r="E3" s="727"/>
      <c r="F3" s="728"/>
    </row>
    <row r="4" spans="1:6" s="9" customFormat="1" ht="19.5" customHeight="1">
      <c r="A4" s="726" t="s">
        <v>38</v>
      </c>
      <c r="B4" s="727"/>
      <c r="C4" s="727"/>
      <c r="D4" s="727"/>
      <c r="E4" s="727"/>
      <c r="F4" s="728"/>
    </row>
    <row r="5" spans="1:6" s="9" customFormat="1" ht="19.5" customHeight="1">
      <c r="A5" s="729" t="s">
        <v>48</v>
      </c>
      <c r="B5" s="730"/>
      <c r="C5" s="730"/>
      <c r="D5" s="730"/>
      <c r="E5" s="730"/>
      <c r="F5" s="731"/>
    </row>
    <row r="6" spans="1:7" s="10" customFormat="1" ht="21" thickBot="1">
      <c r="A6" s="732"/>
      <c r="B6" s="733"/>
      <c r="C6" s="733"/>
      <c r="D6" s="733"/>
      <c r="E6" s="733"/>
      <c r="F6" s="734"/>
      <c r="G6" s="180"/>
    </row>
    <row r="7" spans="1:6" s="13" customFormat="1" ht="30" customHeight="1" thickBot="1">
      <c r="A7" s="20" t="s">
        <v>1</v>
      </c>
      <c r="B7" s="21" t="s">
        <v>4</v>
      </c>
      <c r="C7" s="22" t="s">
        <v>5</v>
      </c>
      <c r="D7" s="23" t="s">
        <v>6</v>
      </c>
      <c r="E7" s="24" t="s">
        <v>7</v>
      </c>
      <c r="F7" s="25" t="s">
        <v>8</v>
      </c>
    </row>
    <row r="8" spans="1:252" ht="30" customHeight="1" thickBot="1">
      <c r="A8" s="91">
        <v>1</v>
      </c>
      <c r="B8" s="179" t="str">
        <f>GERAL!B7</f>
        <v>GERENCIAMENTO DE OBRAS/FISCALIZAÇÃO</v>
      </c>
      <c r="C8" s="717">
        <f>SUM(F9:F12)</f>
        <v>225305.06038672142</v>
      </c>
      <c r="D8" s="718"/>
      <c r="E8" s="718"/>
      <c r="F8" s="719"/>
      <c r="G8" s="492" t="s">
        <v>21</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1:7" ht="15">
      <c r="A9" s="384" t="s">
        <v>315</v>
      </c>
      <c r="B9" s="101" t="s">
        <v>405</v>
      </c>
      <c r="C9" s="397" t="s">
        <v>12</v>
      </c>
      <c r="D9" s="249">
        <v>6</v>
      </c>
      <c r="E9" s="151">
        <f>1.25*16410.3</f>
        <v>20512.875</v>
      </c>
      <c r="F9" s="238">
        <f>D9*E9</f>
        <v>123077.25</v>
      </c>
      <c r="G9" s="619" t="s">
        <v>1121</v>
      </c>
    </row>
    <row r="10" spans="1:9" ht="15">
      <c r="A10" s="389" t="s">
        <v>316</v>
      </c>
      <c r="B10" s="96" t="s">
        <v>406</v>
      </c>
      <c r="C10" s="332" t="s">
        <v>12</v>
      </c>
      <c r="D10" s="251">
        <v>2</v>
      </c>
      <c r="E10" s="152">
        <f>F18</f>
        <v>18288.6</v>
      </c>
      <c r="F10" s="210">
        <f>D10*E10</f>
        <v>36577.2</v>
      </c>
      <c r="G10" s="395" t="s">
        <v>33</v>
      </c>
      <c r="H10" s="46"/>
      <c r="I10" s="46"/>
    </row>
    <row r="11" spans="1:7" ht="15">
      <c r="A11" s="389" t="s">
        <v>317</v>
      </c>
      <c r="B11" s="96" t="s">
        <v>407</v>
      </c>
      <c r="C11" s="332" t="s">
        <v>12</v>
      </c>
      <c r="D11" s="251">
        <v>6</v>
      </c>
      <c r="E11" s="152">
        <f>F21</f>
        <v>2745.055897786904</v>
      </c>
      <c r="F11" s="210">
        <f>D11*E11</f>
        <v>16470.335386721425</v>
      </c>
      <c r="G11" s="395" t="s">
        <v>33</v>
      </c>
    </row>
    <row r="12" spans="1:7" ht="15.75" thickBot="1">
      <c r="A12" s="391" t="s">
        <v>318</v>
      </c>
      <c r="B12" s="94" t="s">
        <v>408</v>
      </c>
      <c r="C12" s="398" t="s">
        <v>12</v>
      </c>
      <c r="D12" s="252">
        <v>6</v>
      </c>
      <c r="E12" s="203">
        <f>1.25*6557.37</f>
        <v>8196.7125</v>
      </c>
      <c r="F12" s="239">
        <f>D12*E12</f>
        <v>49180.274999999994</v>
      </c>
      <c r="G12" s="396" t="s">
        <v>1122</v>
      </c>
    </row>
    <row r="13" spans="1:6" ht="30" customHeight="1" thickBot="1">
      <c r="A13" s="720"/>
      <c r="B13" s="721"/>
      <c r="C13" s="721"/>
      <c r="D13" s="721"/>
      <c r="E13" s="721"/>
      <c r="F13" s="722"/>
    </row>
    <row r="15" spans="1:7" ht="15">
      <c r="A15" s="72"/>
      <c r="B15" s="77" t="s">
        <v>28</v>
      </c>
      <c r="C15" s="56"/>
      <c r="D15" s="56"/>
      <c r="E15" s="56"/>
      <c r="F15" s="56"/>
      <c r="G15" s="58"/>
    </row>
    <row r="16" spans="1:7" ht="15">
      <c r="A16" s="78" t="s">
        <v>316</v>
      </c>
      <c r="B16" s="115" t="s">
        <v>282</v>
      </c>
      <c r="C16" s="59" t="s">
        <v>35</v>
      </c>
      <c r="D16" s="60" t="s">
        <v>6</v>
      </c>
      <c r="E16" s="61" t="s">
        <v>29</v>
      </c>
      <c r="F16" s="61" t="s">
        <v>8</v>
      </c>
      <c r="G16" s="62" t="s">
        <v>30</v>
      </c>
    </row>
    <row r="17" spans="1:7" ht="51">
      <c r="A17" s="589" t="s">
        <v>680</v>
      </c>
      <c r="B17" s="483" t="s">
        <v>553</v>
      </c>
      <c r="C17" s="110" t="s">
        <v>34</v>
      </c>
      <c r="D17" s="340">
        <f>88*2</f>
        <v>176</v>
      </c>
      <c r="E17" s="476">
        <f>1.25*83.13</f>
        <v>103.9125</v>
      </c>
      <c r="F17" s="342">
        <f>D17*E17</f>
        <v>18288.6</v>
      </c>
      <c r="G17" s="464" t="s">
        <v>1123</v>
      </c>
    </row>
    <row r="18" spans="1:7" ht="15">
      <c r="A18" s="74"/>
      <c r="B18" s="64"/>
      <c r="C18" s="64"/>
      <c r="D18" s="64"/>
      <c r="E18" s="65" t="s">
        <v>31</v>
      </c>
      <c r="F18" s="66">
        <f>SUM(F17)</f>
        <v>18288.6</v>
      </c>
      <c r="G18" s="67"/>
    </row>
    <row r="19" spans="1:7" ht="15">
      <c r="A19" s="78" t="s">
        <v>317</v>
      </c>
      <c r="B19" s="115" t="s">
        <v>65</v>
      </c>
      <c r="C19" s="59" t="s">
        <v>35</v>
      </c>
      <c r="D19" s="60" t="s">
        <v>6</v>
      </c>
      <c r="E19" s="61" t="s">
        <v>29</v>
      </c>
      <c r="F19" s="61" t="s">
        <v>8</v>
      </c>
      <c r="G19" s="62" t="s">
        <v>30</v>
      </c>
    </row>
    <row r="20" spans="1:7" ht="15">
      <c r="A20" s="589" t="s">
        <v>681</v>
      </c>
      <c r="B20" s="96" t="s">
        <v>281</v>
      </c>
      <c r="C20" s="110" t="s">
        <v>34</v>
      </c>
      <c r="D20" s="340">
        <f>88*2</f>
        <v>176</v>
      </c>
      <c r="E20" s="341">
        <f>2187.56*1.25/175.32</f>
        <v>15.596908510152863</v>
      </c>
      <c r="F20" s="342">
        <f>D20*E20</f>
        <v>2745.055897786904</v>
      </c>
      <c r="G20" s="343" t="s">
        <v>283</v>
      </c>
    </row>
    <row r="21" spans="1:7" ht="15">
      <c r="A21" s="74"/>
      <c r="B21" s="64"/>
      <c r="C21" s="64"/>
      <c r="D21" s="64"/>
      <c r="E21" s="65" t="s">
        <v>31</v>
      </c>
      <c r="F21" s="66">
        <f>SUM(F20)</f>
        <v>2745.055897786904</v>
      </c>
      <c r="G21" s="67"/>
    </row>
  </sheetData>
  <sheetProtection password="E5F2" sheet="1" objects="1" scenarios="1" selectLockedCells="1" selectUnlockedCells="1"/>
  <mergeCells count="8">
    <mergeCell ref="C8:F8"/>
    <mergeCell ref="A13:F13"/>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IN15"/>
  <sheetViews>
    <sheetView zoomScalePageLayoutView="0" workbookViewId="0" topLeftCell="A1">
      <selection activeCell="C8" sqref="C8:F8"/>
    </sheetView>
  </sheetViews>
  <sheetFormatPr defaultColWidth="9.140625" defaultRowHeight="12.75"/>
  <cols>
    <col min="1" max="1" width="10.7109375" style="14" customWidth="1"/>
    <col min="2" max="2" width="60.7109375" style="14" customWidth="1"/>
    <col min="3" max="4" width="10.7109375" style="14" customWidth="1"/>
    <col min="5" max="5" width="15.7109375" style="14" customWidth="1"/>
    <col min="6" max="6" width="15.7109375" style="15" customWidth="1"/>
    <col min="7" max="7" width="20.7109375" style="14" customWidth="1"/>
    <col min="8" max="16384" width="9.140625" style="14" customWidth="1"/>
  </cols>
  <sheetData>
    <row r="1" spans="1:6" s="9" customFormat="1" ht="19.5" customHeight="1">
      <c r="A1" s="723"/>
      <c r="B1" s="724"/>
      <c r="C1" s="724"/>
      <c r="D1" s="724"/>
      <c r="E1" s="724"/>
      <c r="F1" s="725"/>
    </row>
    <row r="2" spans="1:6" s="9" customFormat="1" ht="19.5" customHeight="1">
      <c r="A2" s="726" t="s">
        <v>2</v>
      </c>
      <c r="B2" s="727"/>
      <c r="C2" s="727"/>
      <c r="D2" s="727"/>
      <c r="E2" s="727"/>
      <c r="F2" s="728"/>
    </row>
    <row r="3" spans="1:6" s="9" customFormat="1" ht="19.5" customHeight="1">
      <c r="A3" s="726" t="s">
        <v>3</v>
      </c>
      <c r="B3" s="727"/>
      <c r="C3" s="727"/>
      <c r="D3" s="727"/>
      <c r="E3" s="727"/>
      <c r="F3" s="728"/>
    </row>
    <row r="4" spans="1:6" s="9" customFormat="1" ht="19.5" customHeight="1">
      <c r="A4" s="726" t="s">
        <v>38</v>
      </c>
      <c r="B4" s="727"/>
      <c r="C4" s="727"/>
      <c r="D4" s="727"/>
      <c r="E4" s="727"/>
      <c r="F4" s="728"/>
    </row>
    <row r="5" spans="1:6" s="9" customFormat="1" ht="19.5" customHeight="1">
      <c r="A5" s="729" t="s">
        <v>48</v>
      </c>
      <c r="B5" s="730"/>
      <c r="C5" s="730"/>
      <c r="D5" s="730"/>
      <c r="E5" s="730"/>
      <c r="F5" s="731"/>
    </row>
    <row r="6" spans="1:7" s="10" customFormat="1" ht="21" thickBot="1">
      <c r="A6" s="732"/>
      <c r="B6" s="733"/>
      <c r="C6" s="733"/>
      <c r="D6" s="733"/>
      <c r="E6" s="733"/>
      <c r="F6" s="734"/>
      <c r="G6" s="180"/>
    </row>
    <row r="7" spans="1:6" s="13" customFormat="1" ht="30" customHeight="1" thickBot="1">
      <c r="A7" s="20" t="s">
        <v>1</v>
      </c>
      <c r="B7" s="21" t="s">
        <v>4</v>
      </c>
      <c r="C7" s="22" t="s">
        <v>5</v>
      </c>
      <c r="D7" s="23" t="s">
        <v>6</v>
      </c>
      <c r="E7" s="24" t="s">
        <v>7</v>
      </c>
      <c r="F7" s="25" t="s">
        <v>8</v>
      </c>
    </row>
    <row r="8" spans="1:248" ht="30" customHeight="1" thickBot="1">
      <c r="A8" s="91">
        <v>2</v>
      </c>
      <c r="B8" s="179" t="str">
        <f>GERAL!B8</f>
        <v>PROJETOS</v>
      </c>
      <c r="C8" s="717">
        <f>SUM(F9:F14)</f>
        <v>5964.750000000001</v>
      </c>
      <c r="D8" s="718"/>
      <c r="E8" s="718"/>
      <c r="F8" s="719"/>
      <c r="G8" s="492" t="s">
        <v>21</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row>
    <row r="9" spans="1:7" ht="15">
      <c r="A9" s="384" t="s">
        <v>309</v>
      </c>
      <c r="B9" s="101" t="s">
        <v>1408</v>
      </c>
      <c r="C9" s="386" t="s">
        <v>9</v>
      </c>
      <c r="D9" s="546">
        <v>1205</v>
      </c>
      <c r="E9" s="387">
        <f aca="true" t="shared" si="0" ref="E9:E14">1.25*0.66</f>
        <v>0.8250000000000001</v>
      </c>
      <c r="F9" s="388">
        <f aca="true" t="shared" si="1" ref="F9:F14">D9*E9</f>
        <v>994.1250000000001</v>
      </c>
      <c r="G9" s="631" t="s">
        <v>1221</v>
      </c>
    </row>
    <row r="10" spans="1:7" ht="15">
      <c r="A10" s="389" t="s">
        <v>310</v>
      </c>
      <c r="B10" s="96" t="s">
        <v>1409</v>
      </c>
      <c r="C10" s="110" t="s">
        <v>9</v>
      </c>
      <c r="D10" s="340">
        <v>1205</v>
      </c>
      <c r="E10" s="385">
        <f t="shared" si="0"/>
        <v>0.8250000000000001</v>
      </c>
      <c r="F10" s="390">
        <f t="shared" si="1"/>
        <v>994.1250000000001</v>
      </c>
      <c r="G10" s="632" t="s">
        <v>1221</v>
      </c>
    </row>
    <row r="11" spans="1:7" ht="15">
      <c r="A11" s="389" t="s">
        <v>311</v>
      </c>
      <c r="B11" s="96" t="s">
        <v>1410</v>
      </c>
      <c r="C11" s="110" t="s">
        <v>9</v>
      </c>
      <c r="D11" s="340">
        <v>1205</v>
      </c>
      <c r="E11" s="385">
        <f t="shared" si="0"/>
        <v>0.8250000000000001</v>
      </c>
      <c r="F11" s="390">
        <f t="shared" si="1"/>
        <v>994.1250000000001</v>
      </c>
      <c r="G11" s="632" t="s">
        <v>1221</v>
      </c>
    </row>
    <row r="12" spans="1:7" ht="15">
      <c r="A12" s="389" t="s">
        <v>312</v>
      </c>
      <c r="B12" s="96" t="s">
        <v>1411</v>
      </c>
      <c r="C12" s="110" t="s">
        <v>9</v>
      </c>
      <c r="D12" s="340">
        <v>1205</v>
      </c>
      <c r="E12" s="385">
        <f t="shared" si="0"/>
        <v>0.8250000000000001</v>
      </c>
      <c r="F12" s="390">
        <f t="shared" si="1"/>
        <v>994.1250000000001</v>
      </c>
      <c r="G12" s="632" t="s">
        <v>1221</v>
      </c>
    </row>
    <row r="13" spans="1:7" ht="15">
      <c r="A13" s="389" t="s">
        <v>313</v>
      </c>
      <c r="B13" s="96" t="s">
        <v>1412</v>
      </c>
      <c r="C13" s="110" t="s">
        <v>9</v>
      </c>
      <c r="D13" s="340">
        <v>1205</v>
      </c>
      <c r="E13" s="385">
        <f t="shared" si="0"/>
        <v>0.8250000000000001</v>
      </c>
      <c r="F13" s="390">
        <f t="shared" si="1"/>
        <v>994.1250000000001</v>
      </c>
      <c r="G13" s="632" t="s">
        <v>1221</v>
      </c>
    </row>
    <row r="14" spans="1:7" ht="15.75" thickBot="1">
      <c r="A14" s="391" t="s">
        <v>314</v>
      </c>
      <c r="B14" s="94" t="s">
        <v>1413</v>
      </c>
      <c r="C14" s="392" t="s">
        <v>9</v>
      </c>
      <c r="D14" s="547">
        <v>1205</v>
      </c>
      <c r="E14" s="393">
        <f t="shared" si="0"/>
        <v>0.8250000000000001</v>
      </c>
      <c r="F14" s="394">
        <f t="shared" si="1"/>
        <v>994.1250000000001</v>
      </c>
      <c r="G14" s="633" t="s">
        <v>1221</v>
      </c>
    </row>
    <row r="15" spans="1:6" ht="30" customHeight="1" thickBot="1">
      <c r="A15" s="720"/>
      <c r="B15" s="721"/>
      <c r="C15" s="721"/>
      <c r="D15" s="721"/>
      <c r="E15" s="721"/>
      <c r="F15" s="722"/>
    </row>
  </sheetData>
  <sheetProtection password="E5F2" sheet="1" objects="1" scenarios="1" selectLockedCells="1" selectUnlockedCells="1"/>
  <mergeCells count="8">
    <mergeCell ref="C8:F8"/>
    <mergeCell ref="A15:F15"/>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R45"/>
  <sheetViews>
    <sheetView zoomScalePageLayoutView="0" workbookViewId="0" topLeftCell="A1">
      <selection activeCell="M28" sqref="M28"/>
    </sheetView>
  </sheetViews>
  <sheetFormatPr defaultColWidth="9.140625" defaultRowHeight="12.75"/>
  <cols>
    <col min="1" max="1" width="10.7109375" style="14" customWidth="1"/>
    <col min="2" max="2" width="60.7109375" style="14" customWidth="1"/>
    <col min="3" max="3" width="10.7109375" style="14" customWidth="1"/>
    <col min="4" max="4" width="10.7109375" style="33" customWidth="1"/>
    <col min="5" max="5" width="15.7109375" style="14" customWidth="1"/>
    <col min="6" max="6" width="15.7109375" style="15" customWidth="1"/>
    <col min="7" max="7" width="20.7109375" style="33" customWidth="1"/>
    <col min="8" max="16384" width="9.140625" style="14" customWidth="1"/>
  </cols>
  <sheetData>
    <row r="1" spans="1:7" s="9" customFormat="1" ht="19.5" customHeight="1">
      <c r="A1" s="747"/>
      <c r="B1" s="748"/>
      <c r="C1" s="748"/>
      <c r="D1" s="748"/>
      <c r="E1" s="748"/>
      <c r="F1" s="749"/>
      <c r="G1" s="31"/>
    </row>
    <row r="2" spans="1:7" s="9" customFormat="1" ht="19.5" customHeight="1">
      <c r="A2" s="726" t="s">
        <v>2</v>
      </c>
      <c r="B2" s="727"/>
      <c r="C2" s="727"/>
      <c r="D2" s="727"/>
      <c r="E2" s="727"/>
      <c r="F2" s="728"/>
      <c r="G2" s="31"/>
    </row>
    <row r="3" spans="1:7" s="9" customFormat="1" ht="19.5" customHeight="1">
      <c r="A3" s="726" t="s">
        <v>3</v>
      </c>
      <c r="B3" s="727"/>
      <c r="C3" s="727"/>
      <c r="D3" s="727"/>
      <c r="E3" s="727"/>
      <c r="F3" s="728"/>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50"/>
      <c r="B6" s="751"/>
      <c r="C6" s="751"/>
      <c r="D6" s="751"/>
      <c r="E6" s="751"/>
      <c r="F6" s="752"/>
      <c r="G6" s="32"/>
    </row>
    <row r="7" spans="1:6" s="13" customFormat="1" ht="30" customHeight="1" thickBot="1">
      <c r="A7" s="20" t="s">
        <v>1</v>
      </c>
      <c r="B7" s="21" t="s">
        <v>4</v>
      </c>
      <c r="C7" s="22" t="s">
        <v>5</v>
      </c>
      <c r="D7" s="23" t="s">
        <v>6</v>
      </c>
      <c r="E7" s="24" t="s">
        <v>7</v>
      </c>
      <c r="F7" s="25" t="s">
        <v>8</v>
      </c>
    </row>
    <row r="8" spans="1:252" ht="30" customHeight="1" thickBot="1">
      <c r="A8" s="88">
        <v>3</v>
      </c>
      <c r="B8" s="112" t="str">
        <f>GERAL!B9</f>
        <v>SERVIÇOS PRELIMINARES</v>
      </c>
      <c r="C8" s="741">
        <f>SUM(C9,C15,C32)</f>
        <v>82456.0085625</v>
      </c>
      <c r="D8" s="742"/>
      <c r="E8" s="742"/>
      <c r="F8" s="743"/>
      <c r="G8" s="493" t="s">
        <v>21</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row>
    <row r="9" spans="1:7" ht="15.75" thickBot="1">
      <c r="A9" s="131" t="s">
        <v>319</v>
      </c>
      <c r="B9" s="347" t="s">
        <v>66</v>
      </c>
      <c r="C9" s="735">
        <f>SUM(F10:F14)</f>
        <v>42920.350000000006</v>
      </c>
      <c r="D9" s="736"/>
      <c r="E9" s="736"/>
      <c r="F9" s="737"/>
      <c r="G9" s="183"/>
    </row>
    <row r="10" spans="1:8" ht="51">
      <c r="A10" s="482" t="s">
        <v>682</v>
      </c>
      <c r="B10" s="491" t="s">
        <v>563</v>
      </c>
      <c r="C10" s="102" t="s">
        <v>12</v>
      </c>
      <c r="D10" s="344">
        <v>6</v>
      </c>
      <c r="E10" s="380">
        <f>1.25*792.6</f>
        <v>990.75</v>
      </c>
      <c r="F10" s="350">
        <f>E10*D10</f>
        <v>5944.5</v>
      </c>
      <c r="G10" s="634" t="s">
        <v>1222</v>
      </c>
      <c r="H10" s="71"/>
    </row>
    <row r="11" spans="1:7" ht="63.75">
      <c r="A11" s="481" t="s">
        <v>683</v>
      </c>
      <c r="B11" s="490" t="s">
        <v>564</v>
      </c>
      <c r="C11" s="95" t="s">
        <v>12</v>
      </c>
      <c r="D11" s="345">
        <v>6</v>
      </c>
      <c r="E11" s="381">
        <f>1.25*901.57</f>
        <v>1126.9625</v>
      </c>
      <c r="F11" s="351">
        <f>E11*D11</f>
        <v>6761.775000000001</v>
      </c>
      <c r="G11" s="635" t="s">
        <v>1223</v>
      </c>
    </row>
    <row r="12" spans="1:7" ht="51">
      <c r="A12" s="481" t="s">
        <v>684</v>
      </c>
      <c r="B12" s="490" t="s">
        <v>285</v>
      </c>
      <c r="C12" s="563" t="s">
        <v>12</v>
      </c>
      <c r="D12" s="346">
        <v>6</v>
      </c>
      <c r="E12" s="381">
        <f>1.25*(775.41+764.7)</f>
        <v>1925.1375000000003</v>
      </c>
      <c r="F12" s="351">
        <f>E12*D12</f>
        <v>11550.825</v>
      </c>
      <c r="G12" s="635" t="s">
        <v>1224</v>
      </c>
    </row>
    <row r="13" spans="1:7" s="46" customFormat="1" ht="15">
      <c r="A13" s="481" t="s">
        <v>685</v>
      </c>
      <c r="B13" s="321" t="s">
        <v>67</v>
      </c>
      <c r="C13" s="136" t="s">
        <v>9</v>
      </c>
      <c r="D13" s="193">
        <v>6</v>
      </c>
      <c r="E13" s="382">
        <f>1.25*321.1</f>
        <v>401.375</v>
      </c>
      <c r="F13" s="351">
        <f>E13*D13</f>
        <v>2408.25</v>
      </c>
      <c r="G13" s="358" t="s">
        <v>1124</v>
      </c>
    </row>
    <row r="14" spans="1:7" s="46" customFormat="1" ht="90" thickBot="1">
      <c r="A14" s="573" t="s">
        <v>686</v>
      </c>
      <c r="B14" s="488" t="s">
        <v>556</v>
      </c>
      <c r="C14" s="352" t="s">
        <v>44</v>
      </c>
      <c r="D14" s="353">
        <v>80</v>
      </c>
      <c r="E14" s="383">
        <f>1.25*162.55</f>
        <v>203.1875</v>
      </c>
      <c r="F14" s="354">
        <f>E14*D14</f>
        <v>16255</v>
      </c>
      <c r="G14" s="358" t="s">
        <v>1225</v>
      </c>
    </row>
    <row r="15" spans="1:7" s="46" customFormat="1" ht="15.75" thickBot="1">
      <c r="A15" s="348" t="s">
        <v>320</v>
      </c>
      <c r="B15" s="349" t="s">
        <v>68</v>
      </c>
      <c r="C15" s="738">
        <f>SUM(F16:F31)</f>
        <v>24367.303024999997</v>
      </c>
      <c r="D15" s="739"/>
      <c r="E15" s="739"/>
      <c r="F15" s="740"/>
      <c r="G15" s="182"/>
    </row>
    <row r="16" spans="1:7" ht="15">
      <c r="A16" s="384" t="s">
        <v>687</v>
      </c>
      <c r="B16" s="487" t="s">
        <v>69</v>
      </c>
      <c r="C16" s="135" t="s">
        <v>44</v>
      </c>
      <c r="D16" s="139">
        <v>0.45</v>
      </c>
      <c r="E16" s="377">
        <f>1.25*9.73</f>
        <v>12.162500000000001</v>
      </c>
      <c r="F16" s="221">
        <f>D16*E16</f>
        <v>5.4731250000000005</v>
      </c>
      <c r="G16" s="355" t="s">
        <v>1423</v>
      </c>
    </row>
    <row r="17" spans="1:7" ht="15">
      <c r="A17" s="389" t="s">
        <v>688</v>
      </c>
      <c r="B17" s="320" t="s">
        <v>70</v>
      </c>
      <c r="C17" s="133" t="s">
        <v>9</v>
      </c>
      <c r="D17" s="140">
        <v>228.31</v>
      </c>
      <c r="E17" s="378">
        <f>1.25*10.89</f>
        <v>13.6125</v>
      </c>
      <c r="F17" s="222">
        <f aca="true" t="shared" si="0" ref="F17:F31">D17*E17</f>
        <v>3107.8698750000003</v>
      </c>
      <c r="G17" s="357" t="s">
        <v>1421</v>
      </c>
    </row>
    <row r="18" spans="1:7" ht="15">
      <c r="A18" s="389" t="s">
        <v>689</v>
      </c>
      <c r="B18" s="142" t="s">
        <v>71</v>
      </c>
      <c r="C18" s="140" t="s">
        <v>36</v>
      </c>
      <c r="D18" s="124">
        <v>8.322</v>
      </c>
      <c r="E18" s="378">
        <f>1.25*377.14</f>
        <v>471.42499999999995</v>
      </c>
      <c r="F18" s="222">
        <f t="shared" si="0"/>
        <v>3923.1988499999993</v>
      </c>
      <c r="G18" s="358" t="s">
        <v>1420</v>
      </c>
    </row>
    <row r="19" spans="1:7" ht="25.5">
      <c r="A19" s="389" t="s">
        <v>690</v>
      </c>
      <c r="B19" s="142" t="s">
        <v>72</v>
      </c>
      <c r="C19" s="140" t="s">
        <v>11</v>
      </c>
      <c r="D19" s="124">
        <v>12</v>
      </c>
      <c r="E19" s="378">
        <f>1.25*43.42</f>
        <v>54.275000000000006</v>
      </c>
      <c r="F19" s="222">
        <f t="shared" si="0"/>
        <v>651.3000000000001</v>
      </c>
      <c r="G19" s="358" t="s">
        <v>1125</v>
      </c>
    </row>
    <row r="20" spans="1:7" ht="25.5">
      <c r="A20" s="389" t="s">
        <v>691</v>
      </c>
      <c r="B20" s="142" t="s">
        <v>73</v>
      </c>
      <c r="C20" s="140" t="s">
        <v>11</v>
      </c>
      <c r="D20" s="124">
        <v>3</v>
      </c>
      <c r="E20" s="378">
        <f>1.25*69.54</f>
        <v>86.92500000000001</v>
      </c>
      <c r="F20" s="222">
        <f t="shared" si="0"/>
        <v>260.77500000000003</v>
      </c>
      <c r="G20" s="358" t="s">
        <v>1126</v>
      </c>
    </row>
    <row r="21" spans="1:7" ht="15">
      <c r="A21" s="389" t="s">
        <v>692</v>
      </c>
      <c r="B21" s="486" t="s">
        <v>74</v>
      </c>
      <c r="C21" s="140" t="s">
        <v>9</v>
      </c>
      <c r="D21" s="124">
        <v>896.63</v>
      </c>
      <c r="E21" s="378">
        <f>1.25*6.11</f>
        <v>7.6375</v>
      </c>
      <c r="F21" s="222">
        <f t="shared" si="0"/>
        <v>6848.011625</v>
      </c>
      <c r="G21" s="358" t="s">
        <v>1226</v>
      </c>
    </row>
    <row r="22" spans="1:7" ht="15">
      <c r="A22" s="389" t="s">
        <v>693</v>
      </c>
      <c r="B22" s="359" t="s">
        <v>286</v>
      </c>
      <c r="C22" s="332" t="s">
        <v>36</v>
      </c>
      <c r="D22" s="124">
        <f>181.79/10</f>
        <v>18.179</v>
      </c>
      <c r="E22" s="378">
        <f>1.25*68.36</f>
        <v>85.45</v>
      </c>
      <c r="F22" s="222">
        <f t="shared" si="0"/>
        <v>1553.39555</v>
      </c>
      <c r="G22" s="358" t="s">
        <v>1419</v>
      </c>
    </row>
    <row r="23" spans="1:7" ht="15">
      <c r="A23" s="389" t="s">
        <v>694</v>
      </c>
      <c r="B23" s="486" t="s">
        <v>75</v>
      </c>
      <c r="C23" s="140" t="s">
        <v>9</v>
      </c>
      <c r="D23" s="124">
        <v>124.34</v>
      </c>
      <c r="E23" s="378">
        <f>1.25*2.16</f>
        <v>2.7</v>
      </c>
      <c r="F23" s="222">
        <f t="shared" si="0"/>
        <v>335.718</v>
      </c>
      <c r="G23" s="358" t="s">
        <v>1424</v>
      </c>
    </row>
    <row r="24" spans="1:7" ht="15">
      <c r="A24" s="389" t="s">
        <v>695</v>
      </c>
      <c r="B24" s="486" t="s">
        <v>76</v>
      </c>
      <c r="C24" s="140" t="s">
        <v>9</v>
      </c>
      <c r="D24" s="124">
        <v>50.7</v>
      </c>
      <c r="E24" s="378">
        <f>1.25*5.11</f>
        <v>6.3875</v>
      </c>
      <c r="F24" s="222">
        <f t="shared" si="0"/>
        <v>323.84625000000005</v>
      </c>
      <c r="G24" s="358" t="s">
        <v>1422</v>
      </c>
    </row>
    <row r="25" spans="1:7" ht="15">
      <c r="A25" s="389" t="s">
        <v>696</v>
      </c>
      <c r="B25" s="486" t="s">
        <v>77</v>
      </c>
      <c r="C25" s="140" t="s">
        <v>9</v>
      </c>
      <c r="D25" s="124">
        <v>228.31</v>
      </c>
      <c r="E25" s="378">
        <f>1.25*12.99</f>
        <v>16.2375</v>
      </c>
      <c r="F25" s="222">
        <f t="shared" si="0"/>
        <v>3707.183625</v>
      </c>
      <c r="G25" s="358" t="s">
        <v>1227</v>
      </c>
    </row>
    <row r="26" spans="1:7" ht="25.5">
      <c r="A26" s="389" t="s">
        <v>697</v>
      </c>
      <c r="B26" s="486" t="s">
        <v>78</v>
      </c>
      <c r="C26" s="140" t="s">
        <v>9</v>
      </c>
      <c r="D26" s="140">
        <v>26.67</v>
      </c>
      <c r="E26" s="378">
        <f>1.25*6.11</f>
        <v>7.6375</v>
      </c>
      <c r="F26" s="222">
        <f t="shared" si="0"/>
        <v>203.692125</v>
      </c>
      <c r="G26" s="358" t="s">
        <v>1228</v>
      </c>
    </row>
    <row r="27" spans="1:7" ht="15">
      <c r="A27" s="389" t="s">
        <v>698</v>
      </c>
      <c r="B27" s="486" t="s">
        <v>79</v>
      </c>
      <c r="C27" s="140" t="s">
        <v>44</v>
      </c>
      <c r="D27" s="140">
        <v>57.64</v>
      </c>
      <c r="E27" s="378">
        <f>1.25*13.43</f>
        <v>16.7875</v>
      </c>
      <c r="F27" s="222">
        <f t="shared" si="0"/>
        <v>967.6315000000001</v>
      </c>
      <c r="G27" s="358" t="s">
        <v>1229</v>
      </c>
    </row>
    <row r="28" spans="1:7" ht="15">
      <c r="A28" s="389" t="s">
        <v>699</v>
      </c>
      <c r="B28" s="486" t="s">
        <v>80</v>
      </c>
      <c r="C28" s="140" t="s">
        <v>44</v>
      </c>
      <c r="D28" s="140">
        <v>27.2</v>
      </c>
      <c r="E28" s="378">
        <f>1.25*9.73</f>
        <v>12.162500000000001</v>
      </c>
      <c r="F28" s="222">
        <f t="shared" si="0"/>
        <v>330.82000000000005</v>
      </c>
      <c r="G28" s="358" t="s">
        <v>1423</v>
      </c>
    </row>
    <row r="29" spans="1:7" ht="15">
      <c r="A29" s="389" t="s">
        <v>700</v>
      </c>
      <c r="B29" s="486" t="s">
        <v>81</v>
      </c>
      <c r="C29" s="140" t="s">
        <v>11</v>
      </c>
      <c r="D29" s="124">
        <v>1</v>
      </c>
      <c r="E29" s="378">
        <f>1.25*5.93</f>
        <v>7.4125</v>
      </c>
      <c r="F29" s="222">
        <f t="shared" si="0"/>
        <v>7.4125</v>
      </c>
      <c r="G29" s="358" t="s">
        <v>1397</v>
      </c>
    </row>
    <row r="30" spans="1:7" ht="15">
      <c r="A30" s="389" t="s">
        <v>701</v>
      </c>
      <c r="B30" s="320" t="s">
        <v>82</v>
      </c>
      <c r="C30" s="133" t="s">
        <v>11</v>
      </c>
      <c r="D30" s="124">
        <v>2</v>
      </c>
      <c r="E30" s="378">
        <f>1.25*8.14</f>
        <v>10.175</v>
      </c>
      <c r="F30" s="222">
        <f t="shared" si="0"/>
        <v>20.35</v>
      </c>
      <c r="G30" s="357" t="s">
        <v>1396</v>
      </c>
    </row>
    <row r="31" spans="1:7" ht="26.25" thickBot="1">
      <c r="A31" s="574" t="s">
        <v>702</v>
      </c>
      <c r="B31" s="489" t="s">
        <v>83</v>
      </c>
      <c r="C31" s="125" t="s">
        <v>44</v>
      </c>
      <c r="D31" s="356">
        <v>150</v>
      </c>
      <c r="E31" s="379">
        <f>1.25*11.31</f>
        <v>14.137500000000001</v>
      </c>
      <c r="F31" s="275">
        <f t="shared" si="0"/>
        <v>2120.625</v>
      </c>
      <c r="G31" s="357" t="s">
        <v>1230</v>
      </c>
    </row>
    <row r="32" spans="1:7" ht="15.75" thickBot="1">
      <c r="A32" s="575" t="s">
        <v>321</v>
      </c>
      <c r="B32" s="349" t="s">
        <v>284</v>
      </c>
      <c r="C32" s="738">
        <f>SUM(F33:F35)</f>
        <v>15168.3555375</v>
      </c>
      <c r="D32" s="739"/>
      <c r="E32" s="739"/>
      <c r="F32" s="740"/>
      <c r="G32" s="182"/>
    </row>
    <row r="33" spans="1:7" ht="15">
      <c r="A33" s="474" t="s">
        <v>703</v>
      </c>
      <c r="B33" s="101" t="s">
        <v>555</v>
      </c>
      <c r="C33" s="397" t="s">
        <v>12</v>
      </c>
      <c r="D33" s="249">
        <v>6</v>
      </c>
      <c r="E33" s="578">
        <f>F45</f>
        <v>1107.1666666666667</v>
      </c>
      <c r="F33" s="579">
        <f>D33*E33</f>
        <v>6643</v>
      </c>
      <c r="G33" s="181" t="s">
        <v>33</v>
      </c>
    </row>
    <row r="34" spans="1:7" ht="15">
      <c r="A34" s="580" t="s">
        <v>704</v>
      </c>
      <c r="B34" s="576" t="s">
        <v>529</v>
      </c>
      <c r="C34" s="577" t="s">
        <v>11</v>
      </c>
      <c r="D34" s="193">
        <v>1</v>
      </c>
      <c r="E34" s="647">
        <f>F40</f>
        <v>5377.2930375000005</v>
      </c>
      <c r="F34" s="223">
        <f>D34*E34</f>
        <v>5377.2930375000005</v>
      </c>
      <c r="G34" s="358" t="s">
        <v>33</v>
      </c>
    </row>
    <row r="35" spans="1:7" ht="15.75" thickBot="1">
      <c r="A35" s="581" t="s">
        <v>705</v>
      </c>
      <c r="B35" s="213" t="s">
        <v>32</v>
      </c>
      <c r="C35" s="138" t="s">
        <v>9</v>
      </c>
      <c r="D35" s="582">
        <v>1205</v>
      </c>
      <c r="E35" s="583">
        <f>1.25*2.09</f>
        <v>2.6125</v>
      </c>
      <c r="F35" s="584">
        <f>D35*E35</f>
        <v>3148.0625</v>
      </c>
      <c r="G35" s="623" t="s">
        <v>1127</v>
      </c>
    </row>
    <row r="36" spans="1:6" ht="30" customHeight="1" thickBot="1">
      <c r="A36" s="744"/>
      <c r="B36" s="745"/>
      <c r="C36" s="745"/>
      <c r="D36" s="745"/>
      <c r="E36" s="745"/>
      <c r="F36" s="746"/>
    </row>
    <row r="38" spans="1:7" ht="15">
      <c r="A38" s="54"/>
      <c r="B38" s="76" t="s">
        <v>28</v>
      </c>
      <c r="C38" s="54"/>
      <c r="D38" s="54"/>
      <c r="E38" s="54"/>
      <c r="F38" s="54"/>
      <c r="G38" s="47"/>
    </row>
    <row r="39" spans="1:7" ht="15">
      <c r="A39" s="78" t="s">
        <v>704</v>
      </c>
      <c r="B39" s="494" t="s">
        <v>13</v>
      </c>
      <c r="C39" s="59" t="s">
        <v>5</v>
      </c>
      <c r="D39" s="60" t="s">
        <v>6</v>
      </c>
      <c r="E39" s="61" t="s">
        <v>29</v>
      </c>
      <c r="F39" s="61" t="s">
        <v>8</v>
      </c>
      <c r="G39" s="62" t="s">
        <v>30</v>
      </c>
    </row>
    <row r="40" spans="1:7" ht="15">
      <c r="A40" s="585" t="s">
        <v>706</v>
      </c>
      <c r="B40" s="98" t="s">
        <v>13</v>
      </c>
      <c r="C40" s="97" t="s">
        <v>14</v>
      </c>
      <c r="D40" s="100">
        <f>0.3/100</f>
        <v>0.003</v>
      </c>
      <c r="E40" s="647">
        <f>1.25*1433944.81</f>
        <v>1792431.0125000002</v>
      </c>
      <c r="F40" s="99">
        <f>E40*D40</f>
        <v>5377.2930375000005</v>
      </c>
      <c r="G40" s="618" t="s">
        <v>1231</v>
      </c>
    </row>
    <row r="42" spans="1:7" ht="15">
      <c r="A42" s="360" t="s">
        <v>703</v>
      </c>
      <c r="B42" s="495" t="str">
        <f>B33</f>
        <v>Locação e montagem de 455,00m² andaime metálico tipo fachadeiro</v>
      </c>
      <c r="C42" s="360" t="s">
        <v>35</v>
      </c>
      <c r="D42" s="60" t="s">
        <v>6</v>
      </c>
      <c r="E42" s="61" t="s">
        <v>29</v>
      </c>
      <c r="F42" s="61" t="s">
        <v>8</v>
      </c>
      <c r="G42" s="62" t="s">
        <v>30</v>
      </c>
    </row>
    <row r="43" spans="1:8" ht="38.25">
      <c r="A43" s="73" t="s">
        <v>707</v>
      </c>
      <c r="B43" s="361" t="s">
        <v>287</v>
      </c>
      <c r="C43" s="362" t="s">
        <v>44</v>
      </c>
      <c r="D43" s="368">
        <f>455/6</f>
        <v>75.83333333333333</v>
      </c>
      <c r="E43" s="363">
        <f>1.25*7.69</f>
        <v>9.6125</v>
      </c>
      <c r="F43" s="66">
        <f>D43*E43</f>
        <v>728.9479166666666</v>
      </c>
      <c r="G43" s="364" t="s">
        <v>1128</v>
      </c>
      <c r="H43" s="46"/>
    </row>
    <row r="44" spans="1:7" ht="38.25">
      <c r="A44" s="73" t="s">
        <v>708</v>
      </c>
      <c r="B44" s="361" t="s">
        <v>288</v>
      </c>
      <c r="C44" s="362" t="s">
        <v>289</v>
      </c>
      <c r="D44" s="368">
        <v>75.83333333333333</v>
      </c>
      <c r="E44" s="363">
        <f>1.25*3.99</f>
        <v>4.987500000000001</v>
      </c>
      <c r="F44" s="66">
        <f>E44*D44</f>
        <v>378.21875000000006</v>
      </c>
      <c r="G44" s="364" t="s">
        <v>1129</v>
      </c>
    </row>
    <row r="45" spans="1:7" ht="15">
      <c r="A45" s="365"/>
      <c r="B45" s="64"/>
      <c r="C45" s="64"/>
      <c r="D45" s="64"/>
      <c r="E45" s="65" t="s">
        <v>31</v>
      </c>
      <c r="F45" s="366">
        <f>SUM(F43:F44)</f>
        <v>1107.1666666666667</v>
      </c>
      <c r="G45" s="367"/>
    </row>
  </sheetData>
  <sheetProtection password="E5F2" sheet="1" objects="1" scenarios="1" selectLockedCells="1" selectUnlockedCells="1"/>
  <protectedRanges>
    <protectedRange sqref="E33:F33 F34:F35" name="Intervalo1"/>
  </protectedRanges>
  <mergeCells count="11">
    <mergeCell ref="A6:F6"/>
    <mergeCell ref="C9:F9"/>
    <mergeCell ref="C15:F15"/>
    <mergeCell ref="C32:F32"/>
    <mergeCell ref="C8:F8"/>
    <mergeCell ref="A36:F36"/>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C8" sqref="C8:F8"/>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12" s="5" customFormat="1" ht="30" customHeight="1" thickBot="1">
      <c r="A7" s="16" t="s">
        <v>1</v>
      </c>
      <c r="B7" s="17" t="s">
        <v>4</v>
      </c>
      <c r="C7" s="18" t="s">
        <v>35</v>
      </c>
      <c r="D7" s="26" t="s">
        <v>6</v>
      </c>
      <c r="E7" s="27" t="s">
        <v>7</v>
      </c>
      <c r="F7" s="28" t="s">
        <v>8</v>
      </c>
      <c r="G7" s="89"/>
      <c r="H7" s="86"/>
      <c r="I7" s="86"/>
      <c r="J7" s="86"/>
      <c r="K7" s="86"/>
      <c r="L7" s="86"/>
    </row>
    <row r="8" spans="1:7" ht="30" customHeight="1" thickBot="1">
      <c r="A8" s="83">
        <v>4</v>
      </c>
      <c r="B8" s="83" t="str">
        <f>GERAL!B10</f>
        <v>MOVIMENTO DE TERRA</v>
      </c>
      <c r="C8" s="756">
        <f>SUM(F9:F12)</f>
        <v>4189.521</v>
      </c>
      <c r="D8" s="757"/>
      <c r="E8" s="757"/>
      <c r="F8" s="758"/>
      <c r="G8" s="493" t="s">
        <v>21</v>
      </c>
    </row>
    <row r="9" spans="1:7" ht="12.75">
      <c r="A9" s="586" t="s">
        <v>709</v>
      </c>
      <c r="B9" s="201" t="s">
        <v>249</v>
      </c>
      <c r="C9" s="199" t="s">
        <v>36</v>
      </c>
      <c r="D9" s="204">
        <v>14.76</v>
      </c>
      <c r="E9" s="200">
        <f>1.25*85.32</f>
        <v>106.64999999999999</v>
      </c>
      <c r="F9" s="244">
        <f>D9*E9</f>
        <v>1574.1539999999998</v>
      </c>
      <c r="G9" s="619" t="s">
        <v>1398</v>
      </c>
    </row>
    <row r="10" spans="1:7" ht="12.75">
      <c r="A10" s="587" t="s">
        <v>710</v>
      </c>
      <c r="B10" s="195" t="s">
        <v>250</v>
      </c>
      <c r="C10" s="194" t="s">
        <v>36</v>
      </c>
      <c r="D10" s="208">
        <v>14.76</v>
      </c>
      <c r="E10" s="197">
        <f>1.25*20.31</f>
        <v>25.3875</v>
      </c>
      <c r="F10" s="245">
        <f>D10*E10</f>
        <v>374.7195</v>
      </c>
      <c r="G10" s="511" t="s">
        <v>1399</v>
      </c>
    </row>
    <row r="11" spans="1:7" ht="25.5">
      <c r="A11" s="587" t="s">
        <v>711</v>
      </c>
      <c r="B11" s="192" t="s">
        <v>251</v>
      </c>
      <c r="C11" s="194" t="s">
        <v>252</v>
      </c>
      <c r="D11" s="209">
        <v>514.5</v>
      </c>
      <c r="E11" s="207">
        <f>1.25*3.21</f>
        <v>4.0125</v>
      </c>
      <c r="F11" s="245">
        <f>D11*E11</f>
        <v>2064.43125</v>
      </c>
      <c r="G11" s="548" t="s">
        <v>1232</v>
      </c>
    </row>
    <row r="12" spans="1:7" ht="13.5" thickBot="1">
      <c r="A12" s="588" t="s">
        <v>712</v>
      </c>
      <c r="B12" s="211" t="s">
        <v>253</v>
      </c>
      <c r="C12" s="202" t="s">
        <v>254</v>
      </c>
      <c r="D12" s="219">
        <v>102.9</v>
      </c>
      <c r="E12" s="220">
        <f>1.25*1.37</f>
        <v>1.7125000000000001</v>
      </c>
      <c r="F12" s="246">
        <f>D12*E12</f>
        <v>176.21625000000003</v>
      </c>
      <c r="G12" s="620" t="s">
        <v>1233</v>
      </c>
    </row>
    <row r="13" spans="1:6" ht="30" customHeight="1" thickBot="1">
      <c r="A13" s="753"/>
      <c r="B13" s="754"/>
      <c r="C13" s="754"/>
      <c r="D13" s="754"/>
      <c r="E13" s="754"/>
      <c r="F13" s="755"/>
    </row>
  </sheetData>
  <sheetProtection password="E5F2" sheet="1" objects="1" scenarios="1" selectLockedCells="1" selectUnlockedCells="1"/>
  <mergeCells count="8">
    <mergeCell ref="A13:F13"/>
    <mergeCell ref="C8:F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F47"/>
  <sheetViews>
    <sheetView zoomScalePageLayoutView="0" workbookViewId="0" topLeftCell="A1">
      <selection activeCell="D10" sqref="D10"/>
    </sheetView>
  </sheetViews>
  <sheetFormatPr defaultColWidth="9.140625" defaultRowHeight="12.75"/>
  <cols>
    <col min="1" max="1" width="10.7109375" style="14" customWidth="1"/>
    <col min="2" max="2" width="60.7109375" style="14" customWidth="1"/>
    <col min="3" max="3" width="10.7109375" style="14" customWidth="1"/>
    <col min="4" max="4" width="10.7109375" style="256" customWidth="1"/>
    <col min="5" max="5" width="15.7109375" style="14" customWidth="1"/>
    <col min="6" max="6" width="15.7109375" style="15" customWidth="1"/>
    <col min="7" max="7" width="20.7109375" style="33" customWidth="1"/>
    <col min="8" max="16384" width="9.140625" style="14" customWidth="1"/>
  </cols>
  <sheetData>
    <row r="1" spans="1:7" s="9" customFormat="1" ht="19.5" customHeight="1">
      <c r="A1" s="747"/>
      <c r="B1" s="748"/>
      <c r="C1" s="748"/>
      <c r="D1" s="748"/>
      <c r="E1" s="748"/>
      <c r="F1" s="749"/>
      <c r="G1" s="31"/>
    </row>
    <row r="2" spans="1:7" s="9" customFormat="1" ht="19.5" customHeight="1">
      <c r="A2" s="726" t="s">
        <v>2</v>
      </c>
      <c r="B2" s="727"/>
      <c r="C2" s="727"/>
      <c r="D2" s="727"/>
      <c r="E2" s="727"/>
      <c r="F2" s="728"/>
      <c r="G2" s="31"/>
    </row>
    <row r="3" spans="1:7" s="9" customFormat="1" ht="19.5" customHeight="1">
      <c r="A3" s="726" t="s">
        <v>3</v>
      </c>
      <c r="B3" s="727"/>
      <c r="C3" s="727"/>
      <c r="D3" s="727"/>
      <c r="E3" s="727"/>
      <c r="F3" s="728"/>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50"/>
      <c r="B6" s="751"/>
      <c r="C6" s="751"/>
      <c r="D6" s="751"/>
      <c r="E6" s="751"/>
      <c r="F6" s="752"/>
      <c r="G6" s="32"/>
    </row>
    <row r="7" spans="1:7" s="13" customFormat="1" ht="30" customHeight="1" thickBot="1">
      <c r="A7" s="20" t="s">
        <v>1</v>
      </c>
      <c r="B7" s="21" t="s">
        <v>4</v>
      </c>
      <c r="C7" s="22" t="s">
        <v>5</v>
      </c>
      <c r="D7" s="23" t="s">
        <v>6</v>
      </c>
      <c r="E7" s="24" t="s">
        <v>7</v>
      </c>
      <c r="F7" s="25" t="s">
        <v>8</v>
      </c>
      <c r="G7" s="90"/>
    </row>
    <row r="8" spans="1:240" ht="30" customHeight="1" thickBot="1">
      <c r="A8" s="84">
        <v>5</v>
      </c>
      <c r="B8" s="85" t="str">
        <f>GERAL!B11</f>
        <v>ALVENARIA E VEDAÇÃO</v>
      </c>
      <c r="C8" s="771">
        <f>SUM(C9,C12,C14)</f>
        <v>38626.79913209583</v>
      </c>
      <c r="D8" s="772"/>
      <c r="E8" s="772"/>
      <c r="F8" s="773"/>
      <c r="G8" s="493" t="s">
        <v>21</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row>
    <row r="9" spans="1:7" ht="15.75" thickBot="1">
      <c r="A9" s="147" t="s">
        <v>322</v>
      </c>
      <c r="B9" s="198" t="s">
        <v>84</v>
      </c>
      <c r="C9" s="769">
        <f>SUM(F10:F11)</f>
        <v>20663.173</v>
      </c>
      <c r="D9" s="770"/>
      <c r="E9" s="770"/>
      <c r="F9" s="770"/>
      <c r="G9" s="188"/>
    </row>
    <row r="10" spans="1:7" s="46" customFormat="1" ht="15">
      <c r="A10" s="590" t="s">
        <v>713</v>
      </c>
      <c r="B10" s="145" t="s">
        <v>85</v>
      </c>
      <c r="C10" s="140" t="s">
        <v>9</v>
      </c>
      <c r="D10" s="129">
        <v>88.28</v>
      </c>
      <c r="E10" s="152">
        <f>1.25*61.24</f>
        <v>76.55</v>
      </c>
      <c r="F10" s="186">
        <f>D10*E10</f>
        <v>6757.834</v>
      </c>
      <c r="G10" s="624" t="s">
        <v>1130</v>
      </c>
    </row>
    <row r="11" spans="1:7" s="46" customFormat="1" ht="15.75" thickBot="1">
      <c r="A11" s="551" t="s">
        <v>714</v>
      </c>
      <c r="B11" s="154" t="s">
        <v>86</v>
      </c>
      <c r="C11" s="127" t="s">
        <v>9</v>
      </c>
      <c r="D11" s="129">
        <v>204.19</v>
      </c>
      <c r="E11" s="152">
        <f>1.25*54.48</f>
        <v>68.1</v>
      </c>
      <c r="F11" s="186">
        <f>D11*E11</f>
        <v>13905.338999999998</v>
      </c>
      <c r="G11" s="624" t="s">
        <v>1425</v>
      </c>
    </row>
    <row r="12" spans="1:7" ht="15.75" thickBot="1">
      <c r="A12" s="137" t="s">
        <v>323</v>
      </c>
      <c r="B12" s="225" t="s">
        <v>87</v>
      </c>
      <c r="C12" s="767">
        <f>SUM(F13)</f>
        <v>8791.260634762499</v>
      </c>
      <c r="D12" s="768"/>
      <c r="E12" s="768"/>
      <c r="F12" s="768"/>
      <c r="G12" s="224"/>
    </row>
    <row r="13" spans="1:7" ht="64.5" thickBot="1">
      <c r="A13" s="428" t="s">
        <v>715</v>
      </c>
      <c r="B13" s="402" t="s">
        <v>88</v>
      </c>
      <c r="C13" s="128" t="s">
        <v>9</v>
      </c>
      <c r="D13" s="129">
        <v>56.91</v>
      </c>
      <c r="E13" s="130">
        <f>F34</f>
        <v>154.47655306207167</v>
      </c>
      <c r="F13" s="186">
        <f>D13*E13</f>
        <v>8791.260634762499</v>
      </c>
      <c r="G13" s="184" t="s">
        <v>33</v>
      </c>
    </row>
    <row r="14" spans="1:7" ht="15.75" thickBot="1">
      <c r="A14" s="269" t="s">
        <v>324</v>
      </c>
      <c r="B14" s="403" t="s">
        <v>59</v>
      </c>
      <c r="C14" s="765">
        <f>SUM(F15:F17)</f>
        <v>9172.365497333334</v>
      </c>
      <c r="D14" s="766"/>
      <c r="E14" s="766"/>
      <c r="F14" s="766"/>
      <c r="G14" s="550"/>
    </row>
    <row r="15" spans="1:7" ht="114.75">
      <c r="A15" s="474" t="s">
        <v>716</v>
      </c>
      <c r="B15" s="404" t="s">
        <v>235</v>
      </c>
      <c r="C15" s="333" t="s">
        <v>44</v>
      </c>
      <c r="D15" s="545">
        <v>15.66</v>
      </c>
      <c r="E15" s="151">
        <f>F47/D15</f>
        <v>579.7543820136228</v>
      </c>
      <c r="F15" s="238">
        <f>D15*E15</f>
        <v>9078.953622333334</v>
      </c>
      <c r="G15" s="591" t="s">
        <v>33</v>
      </c>
    </row>
    <row r="16" spans="1:7" ht="15">
      <c r="A16" s="473" t="s">
        <v>717</v>
      </c>
      <c r="B16" s="532" t="s">
        <v>634</v>
      </c>
      <c r="C16" s="400" t="s">
        <v>40</v>
      </c>
      <c r="D16" s="255">
        <v>1</v>
      </c>
      <c r="E16" s="152">
        <f>1.25*13.9</f>
        <v>17.375</v>
      </c>
      <c r="F16" s="592">
        <f>D16*E16</f>
        <v>17.375</v>
      </c>
      <c r="G16" s="675" t="s">
        <v>1131</v>
      </c>
    </row>
    <row r="17" spans="1:7" ht="15.75" thickBot="1">
      <c r="A17" s="593" t="s">
        <v>718</v>
      </c>
      <c r="B17" s="405" t="s">
        <v>236</v>
      </c>
      <c r="C17" s="164" t="s">
        <v>36</v>
      </c>
      <c r="D17" s="164">
        <v>0.15</v>
      </c>
      <c r="E17" s="171">
        <f>1.25*405.53</f>
        <v>506.91249999999997</v>
      </c>
      <c r="F17" s="239">
        <f>D17*E17</f>
        <v>76.036875</v>
      </c>
      <c r="G17" s="636" t="s">
        <v>1234</v>
      </c>
    </row>
    <row r="18" spans="1:6" ht="30" customHeight="1" thickBot="1">
      <c r="A18" s="744"/>
      <c r="B18" s="745"/>
      <c r="C18" s="745"/>
      <c r="D18" s="745"/>
      <c r="E18" s="745"/>
      <c r="F18" s="746"/>
    </row>
    <row r="20" spans="1:7" ht="15">
      <c r="A20" s="54"/>
      <c r="B20" s="76" t="s">
        <v>28</v>
      </c>
      <c r="C20" s="54"/>
      <c r="D20" s="54"/>
      <c r="E20" s="54"/>
      <c r="F20" s="54"/>
      <c r="G20" s="47"/>
    </row>
    <row r="21" spans="1:7" ht="63.75">
      <c r="A21" s="594" t="s">
        <v>715</v>
      </c>
      <c r="B21" s="595" t="s">
        <v>88</v>
      </c>
      <c r="C21" s="455" t="s">
        <v>5</v>
      </c>
      <c r="D21" s="456" t="s">
        <v>6</v>
      </c>
      <c r="E21" s="457" t="s">
        <v>29</v>
      </c>
      <c r="F21" s="457" t="s">
        <v>8</v>
      </c>
      <c r="G21" s="596" t="s">
        <v>30</v>
      </c>
    </row>
    <row r="22" spans="1:7" ht="25.5">
      <c r="A22" s="480" t="s">
        <v>719</v>
      </c>
      <c r="B22" s="259" t="s">
        <v>339</v>
      </c>
      <c r="C22" s="400" t="s">
        <v>371</v>
      </c>
      <c r="D22" s="255">
        <v>0.0581</v>
      </c>
      <c r="E22" s="152">
        <f>1.25*39.15</f>
        <v>48.9375</v>
      </c>
      <c r="F22" s="401">
        <f>D22*E22</f>
        <v>2.84326875</v>
      </c>
      <c r="G22" s="408" t="s">
        <v>1132</v>
      </c>
    </row>
    <row r="23" spans="1:7" ht="25.5">
      <c r="A23" s="480" t="s">
        <v>720</v>
      </c>
      <c r="B23" s="259" t="s">
        <v>340</v>
      </c>
      <c r="C23" s="400" t="s">
        <v>9</v>
      </c>
      <c r="D23" s="255">
        <v>2.106</v>
      </c>
      <c r="E23" s="152">
        <f>1.25*19.27</f>
        <v>24.0875</v>
      </c>
      <c r="F23" s="401">
        <f aca="true" t="shared" si="0" ref="F23:F33">D23*E23</f>
        <v>50.728275</v>
      </c>
      <c r="G23" s="408" t="s">
        <v>1133</v>
      </c>
    </row>
    <row r="24" spans="1:7" ht="15">
      <c r="A24" s="480" t="s">
        <v>721</v>
      </c>
      <c r="B24" s="512" t="s">
        <v>1416</v>
      </c>
      <c r="C24" s="400" t="s">
        <v>9</v>
      </c>
      <c r="D24" s="255">
        <v>1</v>
      </c>
      <c r="E24" s="152">
        <f>1.25*1357.83/D13</f>
        <v>29.82406431207169</v>
      </c>
      <c r="F24" s="401">
        <f t="shared" si="0"/>
        <v>29.82406431207169</v>
      </c>
      <c r="G24" s="408" t="s">
        <v>45</v>
      </c>
    </row>
    <row r="25" spans="1:7" ht="25.5">
      <c r="A25" s="480" t="s">
        <v>722</v>
      </c>
      <c r="B25" s="259" t="s">
        <v>341</v>
      </c>
      <c r="C25" s="400" t="s">
        <v>44</v>
      </c>
      <c r="D25" s="255">
        <v>1.8187</v>
      </c>
      <c r="E25" s="152">
        <f>1.25*3.61</f>
        <v>4.5125</v>
      </c>
      <c r="F25" s="401">
        <f t="shared" si="0"/>
        <v>8.20688375</v>
      </c>
      <c r="G25" s="408" t="s">
        <v>1134</v>
      </c>
    </row>
    <row r="26" spans="1:7" ht="25.5">
      <c r="A26" s="480" t="s">
        <v>723</v>
      </c>
      <c r="B26" s="259" t="s">
        <v>342</v>
      </c>
      <c r="C26" s="400" t="s">
        <v>44</v>
      </c>
      <c r="D26" s="255">
        <v>5.7999</v>
      </c>
      <c r="E26" s="152">
        <f>1.25*4.1</f>
        <v>5.125</v>
      </c>
      <c r="F26" s="401">
        <f t="shared" si="0"/>
        <v>29.7244875</v>
      </c>
      <c r="G26" s="408" t="s">
        <v>1135</v>
      </c>
    </row>
    <row r="27" spans="1:7" ht="25.5">
      <c r="A27" s="480" t="s">
        <v>724</v>
      </c>
      <c r="B27" s="259" t="s">
        <v>343</v>
      </c>
      <c r="C27" s="400" t="s">
        <v>44</v>
      </c>
      <c r="D27" s="255">
        <v>2.5027</v>
      </c>
      <c r="E27" s="152">
        <f>1.25*0.22</f>
        <v>0.275</v>
      </c>
      <c r="F27" s="401">
        <f t="shared" si="0"/>
        <v>0.6882425000000001</v>
      </c>
      <c r="G27" s="408" t="s">
        <v>1136</v>
      </c>
    </row>
    <row r="28" spans="1:7" ht="25.5">
      <c r="A28" s="480" t="s">
        <v>725</v>
      </c>
      <c r="B28" s="259" t="s">
        <v>344</v>
      </c>
      <c r="C28" s="400" t="s">
        <v>44</v>
      </c>
      <c r="D28" s="255">
        <v>1.5851</v>
      </c>
      <c r="E28" s="152">
        <f>1.25*2.85</f>
        <v>3.5625</v>
      </c>
      <c r="F28" s="401">
        <f t="shared" si="0"/>
        <v>5.64691875</v>
      </c>
      <c r="G28" s="408" t="s">
        <v>1137</v>
      </c>
    </row>
    <row r="29" spans="1:7" ht="38.25">
      <c r="A29" s="480" t="s">
        <v>726</v>
      </c>
      <c r="B29" s="259" t="s">
        <v>345</v>
      </c>
      <c r="C29" s="400" t="s">
        <v>41</v>
      </c>
      <c r="D29" s="255">
        <v>1.0327</v>
      </c>
      <c r="E29" s="152">
        <f>1.25*3.83</f>
        <v>4.7875</v>
      </c>
      <c r="F29" s="401">
        <f t="shared" si="0"/>
        <v>4.944051249999999</v>
      </c>
      <c r="G29" s="408" t="s">
        <v>1138</v>
      </c>
    </row>
    <row r="30" spans="1:7" ht="25.5">
      <c r="A30" s="480" t="s">
        <v>727</v>
      </c>
      <c r="B30" s="259" t="s">
        <v>346</v>
      </c>
      <c r="C30" s="400" t="s">
        <v>40</v>
      </c>
      <c r="D30" s="255">
        <v>20.0077</v>
      </c>
      <c r="E30" s="152">
        <f>1.25*0.05</f>
        <v>0.0625</v>
      </c>
      <c r="F30" s="401">
        <f t="shared" si="0"/>
        <v>1.25048125</v>
      </c>
      <c r="G30" s="408" t="s">
        <v>1139</v>
      </c>
    </row>
    <row r="31" spans="1:7" ht="25.5">
      <c r="A31" s="480" t="s">
        <v>728</v>
      </c>
      <c r="B31" s="259" t="s">
        <v>347</v>
      </c>
      <c r="C31" s="400" t="s">
        <v>40</v>
      </c>
      <c r="D31" s="255">
        <v>0.9149</v>
      </c>
      <c r="E31" s="152">
        <f>1.25*0.12</f>
        <v>0.15</v>
      </c>
      <c r="F31" s="401">
        <f t="shared" si="0"/>
        <v>0.137235</v>
      </c>
      <c r="G31" s="408" t="s">
        <v>1140</v>
      </c>
    </row>
    <row r="32" spans="1:7" ht="15">
      <c r="A32" s="480" t="s">
        <v>729</v>
      </c>
      <c r="B32" s="259" t="s">
        <v>348</v>
      </c>
      <c r="C32" s="400" t="s">
        <v>34</v>
      </c>
      <c r="D32" s="255">
        <v>0.8356</v>
      </c>
      <c r="E32" s="152">
        <f>1.25*16.17</f>
        <v>20.212500000000002</v>
      </c>
      <c r="F32" s="401">
        <f t="shared" si="0"/>
        <v>16.889565</v>
      </c>
      <c r="G32" s="408" t="s">
        <v>1141</v>
      </c>
    </row>
    <row r="33" spans="1:7" ht="15">
      <c r="A33" s="480" t="s">
        <v>730</v>
      </c>
      <c r="B33" s="259" t="s">
        <v>349</v>
      </c>
      <c r="C33" s="400" t="s">
        <v>34</v>
      </c>
      <c r="D33" s="255">
        <v>0.2089</v>
      </c>
      <c r="E33" s="152">
        <f>1.25*13.76</f>
        <v>17.2</v>
      </c>
      <c r="F33" s="401">
        <f t="shared" si="0"/>
        <v>3.59308</v>
      </c>
      <c r="G33" s="408" t="s">
        <v>1142</v>
      </c>
    </row>
    <row r="34" spans="5:6" ht="15">
      <c r="E34" s="152" t="s">
        <v>10</v>
      </c>
      <c r="F34" s="401">
        <f>SUM(F22:F33)</f>
        <v>154.47655306207167</v>
      </c>
    </row>
    <row r="35" spans="1:7" ht="114.75">
      <c r="A35" s="78" t="s">
        <v>716</v>
      </c>
      <c r="B35" s="494" t="s">
        <v>235</v>
      </c>
      <c r="C35" s="59" t="s">
        <v>5</v>
      </c>
      <c r="D35" s="60" t="s">
        <v>6</v>
      </c>
      <c r="E35" s="61" t="s">
        <v>29</v>
      </c>
      <c r="F35" s="61" t="s">
        <v>8</v>
      </c>
      <c r="G35" s="62" t="s">
        <v>30</v>
      </c>
    </row>
    <row r="36" spans="1:7" ht="15">
      <c r="A36" s="480" t="s">
        <v>731</v>
      </c>
      <c r="B36" s="542" t="s">
        <v>570</v>
      </c>
      <c r="C36" s="400" t="s">
        <v>41</v>
      </c>
      <c r="D36" s="255">
        <f>15.66*0.032</f>
        <v>0.50112</v>
      </c>
      <c r="E36" s="152">
        <f>1.25*10.2</f>
        <v>12.75</v>
      </c>
      <c r="F36" s="401">
        <f>D36*E36</f>
        <v>6.38928</v>
      </c>
      <c r="G36" s="408" t="s">
        <v>1143</v>
      </c>
    </row>
    <row r="37" spans="1:7" ht="15">
      <c r="A37" s="480" t="s">
        <v>732</v>
      </c>
      <c r="B37" s="542" t="s">
        <v>571</v>
      </c>
      <c r="C37" s="400" t="s">
        <v>41</v>
      </c>
      <c r="D37" s="255">
        <f>15.66*0.04</f>
        <v>0.6264000000000001</v>
      </c>
      <c r="E37" s="152">
        <f>1.25*8.64</f>
        <v>10.8</v>
      </c>
      <c r="F37" s="401">
        <f aca="true" t="shared" si="1" ref="F37:F46">D37*E37</f>
        <v>6.765120000000001</v>
      </c>
      <c r="G37" s="408" t="s">
        <v>1144</v>
      </c>
    </row>
    <row r="38" spans="1:7" ht="15">
      <c r="A38" s="480" t="s">
        <v>733</v>
      </c>
      <c r="B38" s="542" t="s">
        <v>572</v>
      </c>
      <c r="C38" s="400" t="s">
        <v>40</v>
      </c>
      <c r="D38" s="255">
        <f>15.66*0.4</f>
        <v>6.264</v>
      </c>
      <c r="E38" s="152">
        <f>1.25*37.39</f>
        <v>46.7375</v>
      </c>
      <c r="F38" s="401">
        <f t="shared" si="1"/>
        <v>292.7637</v>
      </c>
      <c r="G38" s="408" t="s">
        <v>1145</v>
      </c>
    </row>
    <row r="39" spans="1:7" ht="51">
      <c r="A39" s="480" t="s">
        <v>734</v>
      </c>
      <c r="B39" s="543" t="s">
        <v>629</v>
      </c>
      <c r="C39" s="400" t="s">
        <v>40</v>
      </c>
      <c r="D39" s="255">
        <v>11</v>
      </c>
      <c r="E39" s="152">
        <f>1.25*975.11/11</f>
        <v>110.80795454545455</v>
      </c>
      <c r="F39" s="401">
        <f t="shared" si="1"/>
        <v>1218.8875</v>
      </c>
      <c r="G39" s="408" t="s">
        <v>45</v>
      </c>
    </row>
    <row r="40" spans="1:7" ht="51">
      <c r="A40" s="480" t="s">
        <v>735</v>
      </c>
      <c r="B40" s="542" t="s">
        <v>630</v>
      </c>
      <c r="C40" s="400" t="s">
        <v>40</v>
      </c>
      <c r="D40" s="255">
        <v>7</v>
      </c>
      <c r="E40" s="152">
        <f>1.25*3877.9/6</f>
        <v>807.8958333333334</v>
      </c>
      <c r="F40" s="401">
        <f>D40*E40</f>
        <v>5655.270833333334</v>
      </c>
      <c r="G40" s="408" t="s">
        <v>45</v>
      </c>
    </row>
    <row r="41" spans="1:7" ht="25.5">
      <c r="A41" s="480" t="s">
        <v>736</v>
      </c>
      <c r="B41" s="542" t="s">
        <v>631</v>
      </c>
      <c r="C41" s="400" t="s">
        <v>36</v>
      </c>
      <c r="D41" s="255">
        <f>3*0.018*15.66</f>
        <v>0.8456399999999998</v>
      </c>
      <c r="E41" s="152">
        <f>1.25*245.38</f>
        <v>306.725</v>
      </c>
      <c r="F41" s="401">
        <f>D41*E41</f>
        <v>259.37892899999997</v>
      </c>
      <c r="G41" s="408" t="s">
        <v>1146</v>
      </c>
    </row>
    <row r="42" spans="1:7" ht="15">
      <c r="A42" s="480" t="s">
        <v>737</v>
      </c>
      <c r="B42" s="543" t="s">
        <v>633</v>
      </c>
      <c r="C42" s="400" t="s">
        <v>40</v>
      </c>
      <c r="D42" s="255">
        <v>1</v>
      </c>
      <c r="E42" s="152">
        <f>1.25*4.31</f>
        <v>5.387499999999999</v>
      </c>
      <c r="F42" s="401">
        <f>D42*E42</f>
        <v>5.387499999999999</v>
      </c>
      <c r="G42" s="408" t="s">
        <v>1147</v>
      </c>
    </row>
    <row r="43" spans="1:7" ht="15">
      <c r="A43" s="480" t="s">
        <v>738</v>
      </c>
      <c r="B43" s="543" t="s">
        <v>632</v>
      </c>
      <c r="C43" s="400" t="s">
        <v>40</v>
      </c>
      <c r="D43" s="255">
        <v>2</v>
      </c>
      <c r="E43" s="152">
        <f>1.25*48.98</f>
        <v>61.224999999999994</v>
      </c>
      <c r="F43" s="401">
        <f>D43*E43</f>
        <v>122.44999999999999</v>
      </c>
      <c r="G43" s="408" t="s">
        <v>1148</v>
      </c>
    </row>
    <row r="44" spans="1:7" ht="15">
      <c r="A44" s="480" t="s">
        <v>739</v>
      </c>
      <c r="B44" s="544" t="s">
        <v>350</v>
      </c>
      <c r="C44" s="400" t="s">
        <v>34</v>
      </c>
      <c r="D44" s="255">
        <f>1*15.66</f>
        <v>15.66</v>
      </c>
      <c r="E44" s="152">
        <f>1.25*19.46</f>
        <v>24.325000000000003</v>
      </c>
      <c r="F44" s="401">
        <f t="shared" si="1"/>
        <v>380.9295000000001</v>
      </c>
      <c r="G44" s="408" t="s">
        <v>1149</v>
      </c>
    </row>
    <row r="45" spans="1:7" ht="15">
      <c r="A45" s="480" t="s">
        <v>740</v>
      </c>
      <c r="B45" s="544" t="s">
        <v>351</v>
      </c>
      <c r="C45" s="400" t="s">
        <v>34</v>
      </c>
      <c r="D45" s="255">
        <f>0.5*15.66+0.75</f>
        <v>8.58</v>
      </c>
      <c r="E45" s="152">
        <f>1.25*19.34</f>
        <v>24.175</v>
      </c>
      <c r="F45" s="401">
        <f t="shared" si="1"/>
        <v>207.4215</v>
      </c>
      <c r="G45" s="408" t="s">
        <v>1150</v>
      </c>
    </row>
    <row r="46" spans="1:7" ht="15">
      <c r="A46" s="480" t="s">
        <v>741</v>
      </c>
      <c r="B46" s="544" t="s">
        <v>349</v>
      </c>
      <c r="C46" s="400" t="s">
        <v>34</v>
      </c>
      <c r="D46" s="255">
        <f>3.38*15.66+0.75</f>
        <v>53.6808</v>
      </c>
      <c r="E46" s="152">
        <f>1.25*13.76</f>
        <v>17.2</v>
      </c>
      <c r="F46" s="401">
        <f t="shared" si="1"/>
        <v>923.3097599999999</v>
      </c>
      <c r="G46" s="408" t="s">
        <v>1142</v>
      </c>
    </row>
    <row r="47" spans="5:6" ht="15">
      <c r="E47" s="152" t="s">
        <v>10</v>
      </c>
      <c r="F47" s="401">
        <f>SUM(F36:F46)</f>
        <v>9078.953622333334</v>
      </c>
    </row>
  </sheetData>
  <sheetProtection password="E5F2" sheet="1" objects="1" scenarios="1" selectLockedCells="1" selectUnlockedCells="1"/>
  <mergeCells count="11">
    <mergeCell ref="A6:F6"/>
    <mergeCell ref="C14:F14"/>
    <mergeCell ref="C12:F12"/>
    <mergeCell ref="C9:F9"/>
    <mergeCell ref="C8:F8"/>
    <mergeCell ref="A18:F18"/>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G105"/>
  <sheetViews>
    <sheetView zoomScalePageLayoutView="0" workbookViewId="0" topLeftCell="A1">
      <selection activeCell="E10" sqref="E10"/>
    </sheetView>
  </sheetViews>
  <sheetFormatPr defaultColWidth="9.140625" defaultRowHeight="12.75"/>
  <cols>
    <col min="1" max="1" width="10.7109375" style="14" customWidth="1"/>
    <col min="2" max="2" width="60.7109375" style="14" customWidth="1"/>
    <col min="3" max="4" width="10.7109375" style="14" customWidth="1"/>
    <col min="5" max="5" width="15.7109375" style="14" customWidth="1"/>
    <col min="6" max="6" width="15.7109375" style="15" customWidth="1"/>
    <col min="7" max="7" width="20.7109375" style="33" customWidth="1"/>
    <col min="8" max="16384" width="9.140625" style="14" customWidth="1"/>
  </cols>
  <sheetData>
    <row r="1" spans="1:7" s="9" customFormat="1" ht="19.5" customHeight="1">
      <c r="A1" s="747"/>
      <c r="B1" s="748"/>
      <c r="C1" s="748"/>
      <c r="D1" s="748"/>
      <c r="E1" s="748"/>
      <c r="F1" s="749"/>
      <c r="G1" s="31"/>
    </row>
    <row r="2" spans="1:7" s="9" customFormat="1" ht="19.5" customHeight="1">
      <c r="A2" s="726" t="s">
        <v>2</v>
      </c>
      <c r="B2" s="727"/>
      <c r="C2" s="727"/>
      <c r="D2" s="727"/>
      <c r="E2" s="727"/>
      <c r="F2" s="728"/>
      <c r="G2" s="31"/>
    </row>
    <row r="3" spans="1:7" s="9" customFormat="1" ht="19.5" customHeight="1">
      <c r="A3" s="726" t="s">
        <v>3</v>
      </c>
      <c r="B3" s="727"/>
      <c r="C3" s="727"/>
      <c r="D3" s="727"/>
      <c r="E3" s="727"/>
      <c r="F3" s="728"/>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50"/>
      <c r="B6" s="751"/>
      <c r="C6" s="751"/>
      <c r="D6" s="751"/>
      <c r="E6" s="751"/>
      <c r="F6" s="752"/>
      <c r="G6" s="32"/>
    </row>
    <row r="7" spans="1:7" s="13" customFormat="1" ht="30" customHeight="1" thickBot="1">
      <c r="A7" s="20" t="s">
        <v>1</v>
      </c>
      <c r="B7" s="21" t="s">
        <v>4</v>
      </c>
      <c r="C7" s="22" t="s">
        <v>5</v>
      </c>
      <c r="D7" s="23" t="s">
        <v>6</v>
      </c>
      <c r="E7" s="24" t="s">
        <v>7</v>
      </c>
      <c r="F7" s="25" t="s">
        <v>8</v>
      </c>
      <c r="G7" s="90"/>
    </row>
    <row r="8" spans="1:241" ht="30" customHeight="1" thickBot="1">
      <c r="A8" s="84">
        <v>6</v>
      </c>
      <c r="B8" s="85" t="str">
        <f>GERAL!B12</f>
        <v>ESQUADRIAS</v>
      </c>
      <c r="C8" s="771">
        <f>SUM(C9,C13,C22,C26)</f>
        <v>201189.5201435</v>
      </c>
      <c r="D8" s="772"/>
      <c r="E8" s="772"/>
      <c r="F8" s="773"/>
      <c r="G8" s="493" t="s">
        <v>21</v>
      </c>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row>
    <row r="9" spans="1:7" ht="15.75" thickBot="1">
      <c r="A9" s="131" t="s">
        <v>325</v>
      </c>
      <c r="B9" s="217" t="s">
        <v>89</v>
      </c>
      <c r="C9" s="774">
        <f>SUM(F10:F12)</f>
        <v>10831.9625</v>
      </c>
      <c r="D9" s="775"/>
      <c r="E9" s="775"/>
      <c r="F9" s="776"/>
      <c r="G9" s="228"/>
    </row>
    <row r="10" spans="1:7" s="46" customFormat="1" ht="76.5">
      <c r="A10" s="474" t="s">
        <v>1056</v>
      </c>
      <c r="B10" s="143" t="s">
        <v>90</v>
      </c>
      <c r="C10" s="139" t="s">
        <v>11</v>
      </c>
      <c r="D10" s="462">
        <v>9</v>
      </c>
      <c r="E10" s="151">
        <f>1.25*614.3</f>
        <v>767.875</v>
      </c>
      <c r="F10" s="238">
        <f>D10*E10</f>
        <v>6910.875</v>
      </c>
      <c r="G10" s="619" t="s">
        <v>1546</v>
      </c>
    </row>
    <row r="11" spans="1:7" s="46" customFormat="1" ht="76.5">
      <c r="A11" s="473" t="s">
        <v>1057</v>
      </c>
      <c r="B11" s="96" t="s">
        <v>91</v>
      </c>
      <c r="C11" s="140" t="s">
        <v>11</v>
      </c>
      <c r="D11" s="250">
        <v>8</v>
      </c>
      <c r="E11" s="152">
        <f>1.25*(318.14+26.41)</f>
        <v>430.6875</v>
      </c>
      <c r="F11" s="210">
        <f>D11*E11</f>
        <v>3445.5</v>
      </c>
      <c r="G11" s="511" t="s">
        <v>1151</v>
      </c>
    </row>
    <row r="12" spans="1:7" ht="77.25" thickBot="1">
      <c r="A12" s="551" t="s">
        <v>1058</v>
      </c>
      <c r="B12" s="213" t="s">
        <v>92</v>
      </c>
      <c r="C12" s="138" t="s">
        <v>11</v>
      </c>
      <c r="D12" s="463">
        <v>1</v>
      </c>
      <c r="E12" s="203">
        <f>1.25*(320.85+59.62)</f>
        <v>475.58750000000003</v>
      </c>
      <c r="F12" s="239">
        <f>D12*E12</f>
        <v>475.58750000000003</v>
      </c>
      <c r="G12" s="620" t="s">
        <v>1152</v>
      </c>
    </row>
    <row r="13" spans="1:7" ht="15.75" thickBot="1">
      <c r="A13" s="137" t="s">
        <v>326</v>
      </c>
      <c r="B13" s="418" t="s">
        <v>93</v>
      </c>
      <c r="C13" s="777">
        <f>SUM(F14:F21)</f>
        <v>74376.0861575</v>
      </c>
      <c r="D13" s="778"/>
      <c r="E13" s="778"/>
      <c r="F13" s="779"/>
      <c r="G13" s="229"/>
    </row>
    <row r="14" spans="1:7" ht="63.75">
      <c r="A14" s="474" t="s">
        <v>530</v>
      </c>
      <c r="B14" s="433" t="s">
        <v>94</v>
      </c>
      <c r="C14" s="139" t="s">
        <v>11</v>
      </c>
      <c r="D14" s="249">
        <v>3</v>
      </c>
      <c r="E14" s="151">
        <f>F39</f>
        <v>6425.9629749999995</v>
      </c>
      <c r="F14" s="238">
        <f>D14*E14</f>
        <v>19277.888925</v>
      </c>
      <c r="G14" s="235" t="s">
        <v>33</v>
      </c>
    </row>
    <row r="15" spans="1:7" ht="63.75">
      <c r="A15" s="473" t="s">
        <v>531</v>
      </c>
      <c r="B15" s="410" t="s">
        <v>95</v>
      </c>
      <c r="C15" s="140" t="s">
        <v>11</v>
      </c>
      <c r="D15" s="251">
        <v>1</v>
      </c>
      <c r="E15" s="152">
        <f>F48</f>
        <v>6300.127500000001</v>
      </c>
      <c r="F15" s="210">
        <f aca="true" t="shared" si="0" ref="F15:F21">D15*E15</f>
        <v>6300.127500000001</v>
      </c>
      <c r="G15" s="181" t="s">
        <v>33</v>
      </c>
    </row>
    <row r="16" spans="1:7" ht="63.75">
      <c r="A16" s="473" t="s">
        <v>532</v>
      </c>
      <c r="B16" s="410" t="s">
        <v>96</v>
      </c>
      <c r="C16" s="140" t="s">
        <v>11</v>
      </c>
      <c r="D16" s="251">
        <v>3</v>
      </c>
      <c r="E16" s="152">
        <f>F57</f>
        <v>6300.127500000001</v>
      </c>
      <c r="F16" s="210">
        <f t="shared" si="0"/>
        <v>18900.382500000003</v>
      </c>
      <c r="G16" s="181" t="s">
        <v>33</v>
      </c>
    </row>
    <row r="17" spans="1:7" ht="63.75">
      <c r="A17" s="473" t="s">
        <v>533</v>
      </c>
      <c r="B17" s="410" t="s">
        <v>97</v>
      </c>
      <c r="C17" s="140" t="s">
        <v>11</v>
      </c>
      <c r="D17" s="251">
        <v>2</v>
      </c>
      <c r="E17" s="152">
        <f>F66</f>
        <v>5929.257999999999</v>
      </c>
      <c r="F17" s="210">
        <f t="shared" si="0"/>
        <v>11858.515999999998</v>
      </c>
      <c r="G17" s="181" t="s">
        <v>33</v>
      </c>
    </row>
    <row r="18" spans="1:7" ht="63.75">
      <c r="A18" s="473" t="s">
        <v>534</v>
      </c>
      <c r="B18" s="410" t="s">
        <v>98</v>
      </c>
      <c r="C18" s="140" t="s">
        <v>11</v>
      </c>
      <c r="D18" s="251">
        <v>3</v>
      </c>
      <c r="E18" s="152">
        <f>F75</f>
        <v>3600.162825000001</v>
      </c>
      <c r="F18" s="210">
        <f t="shared" si="0"/>
        <v>10800.488475000002</v>
      </c>
      <c r="G18" s="511" t="s">
        <v>33</v>
      </c>
    </row>
    <row r="19" spans="1:7" ht="76.5">
      <c r="A19" s="473" t="s">
        <v>535</v>
      </c>
      <c r="B19" s="410" t="s">
        <v>99</v>
      </c>
      <c r="C19" s="140" t="s">
        <v>11</v>
      </c>
      <c r="D19" s="251">
        <v>3</v>
      </c>
      <c r="E19" s="152">
        <f>F81</f>
        <v>1673.8953150000004</v>
      </c>
      <c r="F19" s="210">
        <f t="shared" si="0"/>
        <v>5021.685945000001</v>
      </c>
      <c r="G19" s="181" t="s">
        <v>33</v>
      </c>
    </row>
    <row r="20" spans="1:7" ht="38.25">
      <c r="A20" s="473" t="s">
        <v>536</v>
      </c>
      <c r="B20" s="410" t="s">
        <v>100</v>
      </c>
      <c r="C20" s="140" t="s">
        <v>11</v>
      </c>
      <c r="D20" s="251">
        <v>1</v>
      </c>
      <c r="E20" s="152">
        <f>F84</f>
        <v>156.47400000000002</v>
      </c>
      <c r="F20" s="210">
        <f t="shared" si="0"/>
        <v>156.47400000000002</v>
      </c>
      <c r="G20" s="181" t="s">
        <v>33</v>
      </c>
    </row>
    <row r="21" spans="1:7" ht="51.75" thickBot="1">
      <c r="A21" s="551" t="s">
        <v>537</v>
      </c>
      <c r="B21" s="561" t="s">
        <v>644</v>
      </c>
      <c r="C21" s="138" t="s">
        <v>11</v>
      </c>
      <c r="D21" s="252">
        <v>1</v>
      </c>
      <c r="E21" s="203">
        <f>F88</f>
        <v>2060.5228125</v>
      </c>
      <c r="F21" s="239">
        <f t="shared" si="0"/>
        <v>2060.5228125</v>
      </c>
      <c r="G21" s="236" t="s">
        <v>33</v>
      </c>
    </row>
    <row r="22" spans="1:7" ht="15.75" thickBot="1">
      <c r="A22" s="137" t="s">
        <v>327</v>
      </c>
      <c r="B22" s="406" t="s">
        <v>101</v>
      </c>
      <c r="C22" s="780">
        <f>SUM(F23:F25)</f>
        <v>14292.061875</v>
      </c>
      <c r="D22" s="780"/>
      <c r="E22" s="780"/>
      <c r="F22" s="781"/>
      <c r="G22" s="230"/>
    </row>
    <row r="23" spans="1:7" ht="38.25">
      <c r="A23" s="428" t="s">
        <v>1059</v>
      </c>
      <c r="B23" s="96" t="s">
        <v>102</v>
      </c>
      <c r="C23" s="141" t="s">
        <v>11</v>
      </c>
      <c r="D23" s="253">
        <v>18</v>
      </c>
      <c r="E23" s="155">
        <f>1.25*68.26</f>
        <v>85.325</v>
      </c>
      <c r="F23" s="237">
        <f>D23*E23</f>
        <v>1535.8500000000001</v>
      </c>
      <c r="G23" s="625" t="s">
        <v>1153</v>
      </c>
    </row>
    <row r="24" spans="1:7" ht="38.25">
      <c r="A24" s="473" t="s">
        <v>1060</v>
      </c>
      <c r="B24" s="96" t="s">
        <v>103</v>
      </c>
      <c r="C24" s="140" t="s">
        <v>11</v>
      </c>
      <c r="D24" s="251">
        <v>9</v>
      </c>
      <c r="E24" s="152">
        <f>F93</f>
        <v>865.406875</v>
      </c>
      <c r="F24" s="237">
        <f>D24*E24</f>
        <v>7788.661875</v>
      </c>
      <c r="G24" s="185" t="s">
        <v>33</v>
      </c>
    </row>
    <row r="25" spans="1:7" ht="26.25" thickBot="1">
      <c r="A25" s="473" t="s">
        <v>1061</v>
      </c>
      <c r="B25" s="96" t="s">
        <v>104</v>
      </c>
      <c r="C25" s="127" t="s">
        <v>11</v>
      </c>
      <c r="D25" s="254">
        <v>18</v>
      </c>
      <c r="E25" s="562">
        <f>F97</f>
        <v>275.975</v>
      </c>
      <c r="F25" s="237">
        <f>D25*E25</f>
        <v>4967.55</v>
      </c>
      <c r="G25" s="234" t="s">
        <v>33</v>
      </c>
    </row>
    <row r="26" spans="1:7" ht="15.75" thickBot="1">
      <c r="A26" s="131" t="s">
        <v>1062</v>
      </c>
      <c r="B26" s="217" t="s">
        <v>105</v>
      </c>
      <c r="C26" s="782">
        <f>SUM(F27)</f>
        <v>101689.409611</v>
      </c>
      <c r="D26" s="783"/>
      <c r="E26" s="783"/>
      <c r="F26" s="784"/>
      <c r="G26" s="231"/>
    </row>
    <row r="27" spans="1:7" ht="64.5" thickBot="1">
      <c r="A27" s="612" t="s">
        <v>1063</v>
      </c>
      <c r="B27" s="613" t="s">
        <v>106</v>
      </c>
      <c r="C27" s="614" t="s">
        <v>9</v>
      </c>
      <c r="D27" s="615">
        <v>168.192</v>
      </c>
      <c r="E27" s="616">
        <f>F105/D27</f>
        <v>604.6031298218702</v>
      </c>
      <c r="F27" s="617">
        <f>D27*E27</f>
        <v>101689.409611</v>
      </c>
      <c r="G27" s="232" t="s">
        <v>33</v>
      </c>
    </row>
    <row r="28" spans="1:6" ht="30" customHeight="1" thickBot="1">
      <c r="A28" s="744"/>
      <c r="B28" s="745"/>
      <c r="C28" s="745"/>
      <c r="D28" s="745"/>
      <c r="E28" s="745"/>
      <c r="F28" s="746"/>
    </row>
    <row r="30" spans="1:7" ht="15">
      <c r="A30" s="72"/>
      <c r="B30" s="57" t="s">
        <v>28</v>
      </c>
      <c r="C30" s="56"/>
      <c r="D30" s="56"/>
      <c r="E30" s="56"/>
      <c r="F30" s="56"/>
      <c r="G30" s="58"/>
    </row>
    <row r="31" spans="1:7" ht="63.75">
      <c r="A31" s="78" t="s">
        <v>530</v>
      </c>
      <c r="B31" s="494" t="s">
        <v>94</v>
      </c>
      <c r="C31" s="59" t="s">
        <v>35</v>
      </c>
      <c r="D31" s="60" t="s">
        <v>6</v>
      </c>
      <c r="E31" s="61" t="s">
        <v>29</v>
      </c>
      <c r="F31" s="61" t="s">
        <v>8</v>
      </c>
      <c r="G31" s="79" t="s">
        <v>21</v>
      </c>
    </row>
    <row r="32" spans="1:7" ht="15">
      <c r="A32" s="426" t="s">
        <v>1064</v>
      </c>
      <c r="B32" s="361" t="s">
        <v>638</v>
      </c>
      <c r="C32" s="429" t="s">
        <v>9</v>
      </c>
      <c r="D32" s="425">
        <v>5.13</v>
      </c>
      <c r="E32" s="427">
        <f>1.25*454.47</f>
        <v>568.0875000000001</v>
      </c>
      <c r="F32" s="66">
        <f aca="true" t="shared" si="1" ref="F32:F38">D32*E32</f>
        <v>2914.288875</v>
      </c>
      <c r="G32" s="70" t="s">
        <v>1154</v>
      </c>
    </row>
    <row r="33" spans="1:7" ht="25.5">
      <c r="A33" s="621" t="s">
        <v>1065</v>
      </c>
      <c r="B33" s="361" t="s">
        <v>639</v>
      </c>
      <c r="C33" s="622" t="s">
        <v>9</v>
      </c>
      <c r="D33" s="441">
        <v>2.33</v>
      </c>
      <c r="E33" s="427">
        <f>1.25*347.72</f>
        <v>434.65000000000003</v>
      </c>
      <c r="F33" s="66">
        <f t="shared" si="1"/>
        <v>1012.7345000000001</v>
      </c>
      <c r="G33" s="70" t="s">
        <v>1155</v>
      </c>
    </row>
    <row r="34" spans="1:7" ht="25.5">
      <c r="A34" s="621" t="s">
        <v>1066</v>
      </c>
      <c r="B34" s="55" t="s">
        <v>640</v>
      </c>
      <c r="C34" s="70" t="s">
        <v>9</v>
      </c>
      <c r="D34" s="48">
        <v>5.144</v>
      </c>
      <c r="E34" s="427">
        <f>1.25*347.72</f>
        <v>434.65000000000003</v>
      </c>
      <c r="F34" s="66">
        <f t="shared" si="1"/>
        <v>2235.8396000000002</v>
      </c>
      <c r="G34" s="70" t="s">
        <v>1155</v>
      </c>
    </row>
    <row r="35" spans="1:7" ht="15">
      <c r="A35" s="426" t="s">
        <v>1067</v>
      </c>
      <c r="B35" s="55" t="s">
        <v>642</v>
      </c>
      <c r="C35" s="70" t="s">
        <v>40</v>
      </c>
      <c r="D35" s="48">
        <v>3</v>
      </c>
      <c r="E35" s="427">
        <f>1.25*16</f>
        <v>20</v>
      </c>
      <c r="F35" s="66">
        <f t="shared" si="1"/>
        <v>60</v>
      </c>
      <c r="G35" s="70" t="s">
        <v>1156</v>
      </c>
    </row>
    <row r="36" spans="1:7" ht="25.5">
      <c r="A36" s="426" t="s">
        <v>1068</v>
      </c>
      <c r="B36" s="55" t="s">
        <v>400</v>
      </c>
      <c r="C36" s="70" t="s">
        <v>40</v>
      </c>
      <c r="D36" s="48">
        <v>3</v>
      </c>
      <c r="E36" s="427">
        <f>1.25*47.93</f>
        <v>59.9125</v>
      </c>
      <c r="F36" s="66">
        <f t="shared" si="1"/>
        <v>179.7375</v>
      </c>
      <c r="G36" s="70" t="s">
        <v>1157</v>
      </c>
    </row>
    <row r="37" spans="1:7" ht="15">
      <c r="A37" s="426" t="s">
        <v>1069</v>
      </c>
      <c r="B37" s="55" t="s">
        <v>641</v>
      </c>
      <c r="C37" s="70" t="s">
        <v>34</v>
      </c>
      <c r="D37" s="48">
        <v>0.6</v>
      </c>
      <c r="E37" s="427">
        <f>1.25*17.39</f>
        <v>21.7375</v>
      </c>
      <c r="F37" s="66">
        <f t="shared" si="1"/>
        <v>13.0425</v>
      </c>
      <c r="G37" s="70" t="s">
        <v>1158</v>
      </c>
    </row>
    <row r="38" spans="1:7" ht="15">
      <c r="A38" s="426" t="s">
        <v>1070</v>
      </c>
      <c r="B38" s="55" t="s">
        <v>349</v>
      </c>
      <c r="C38" s="70" t="s">
        <v>34</v>
      </c>
      <c r="D38" s="48">
        <v>0.6</v>
      </c>
      <c r="E38" s="427">
        <f>1.25*13.76</f>
        <v>17.2</v>
      </c>
      <c r="F38" s="66">
        <f t="shared" si="1"/>
        <v>10.319999999999999</v>
      </c>
      <c r="G38" s="70" t="s">
        <v>1142</v>
      </c>
    </row>
    <row r="39" spans="1:7" ht="15">
      <c r="A39" s="103"/>
      <c r="B39" s="104"/>
      <c r="C39" s="105"/>
      <c r="D39" s="105"/>
      <c r="E39" s="466" t="s">
        <v>10</v>
      </c>
      <c r="F39" s="366">
        <f>SUM(F32:F38)</f>
        <v>6425.9629749999995</v>
      </c>
      <c r="G39" s="92"/>
    </row>
    <row r="40" spans="1:7" ht="63.75">
      <c r="A40" s="78" t="s">
        <v>531</v>
      </c>
      <c r="B40" s="494" t="s">
        <v>95</v>
      </c>
      <c r="C40" s="59" t="s">
        <v>35</v>
      </c>
      <c r="D40" s="60" t="s">
        <v>6</v>
      </c>
      <c r="E40" s="61" t="s">
        <v>29</v>
      </c>
      <c r="F40" s="61" t="s">
        <v>8</v>
      </c>
      <c r="G40" s="79" t="s">
        <v>21</v>
      </c>
    </row>
    <row r="41" spans="1:7" ht="15">
      <c r="A41" s="426" t="s">
        <v>1071</v>
      </c>
      <c r="B41" s="361" t="s">
        <v>638</v>
      </c>
      <c r="C41" s="429" t="s">
        <v>9</v>
      </c>
      <c r="D41" s="425">
        <v>4.2</v>
      </c>
      <c r="E41" s="427">
        <f>1.25*454.47</f>
        <v>568.0875000000001</v>
      </c>
      <c r="F41" s="66">
        <f aca="true" t="shared" si="2" ref="F41:F47">D41*E41</f>
        <v>2385.9675000000007</v>
      </c>
      <c r="G41" s="70" t="s">
        <v>1154</v>
      </c>
    </row>
    <row r="42" spans="1:7" ht="25.5">
      <c r="A42" s="621" t="s">
        <v>1072</v>
      </c>
      <c r="B42" s="361" t="s">
        <v>639</v>
      </c>
      <c r="C42" s="622" t="s">
        <v>9</v>
      </c>
      <c r="D42" s="441">
        <v>4.2</v>
      </c>
      <c r="E42" s="427">
        <f>1.25*347.72</f>
        <v>434.65000000000003</v>
      </c>
      <c r="F42" s="66">
        <f t="shared" si="2"/>
        <v>1825.5300000000002</v>
      </c>
      <c r="G42" s="70" t="s">
        <v>1155</v>
      </c>
    </row>
    <row r="43" spans="1:7" ht="25.5">
      <c r="A43" s="621" t="s">
        <v>1073</v>
      </c>
      <c r="B43" s="55" t="s">
        <v>640</v>
      </c>
      <c r="C43" s="70" t="s">
        <v>9</v>
      </c>
      <c r="D43" s="48">
        <v>4.2</v>
      </c>
      <c r="E43" s="427">
        <f>1.25*347.72</f>
        <v>434.65000000000003</v>
      </c>
      <c r="F43" s="66">
        <f t="shared" si="2"/>
        <v>1825.5300000000002</v>
      </c>
      <c r="G43" s="70" t="s">
        <v>1155</v>
      </c>
    </row>
    <row r="44" spans="1:7" ht="15">
      <c r="A44" s="426" t="s">
        <v>1074</v>
      </c>
      <c r="B44" s="55" t="s">
        <v>642</v>
      </c>
      <c r="C44" s="70" t="s">
        <v>40</v>
      </c>
      <c r="D44" s="48">
        <v>3</v>
      </c>
      <c r="E44" s="427">
        <f>1.25*16</f>
        <v>20</v>
      </c>
      <c r="F44" s="66">
        <f t="shared" si="2"/>
        <v>60</v>
      </c>
      <c r="G44" s="70" t="s">
        <v>1156</v>
      </c>
    </row>
    <row r="45" spans="1:7" ht="25.5">
      <c r="A45" s="426" t="s">
        <v>1075</v>
      </c>
      <c r="B45" s="55" t="s">
        <v>400</v>
      </c>
      <c r="C45" s="70" t="s">
        <v>40</v>
      </c>
      <c r="D45" s="48">
        <v>3</v>
      </c>
      <c r="E45" s="427">
        <f>1.25*47.93</f>
        <v>59.9125</v>
      </c>
      <c r="F45" s="66">
        <f t="shared" si="2"/>
        <v>179.7375</v>
      </c>
      <c r="G45" s="70" t="s">
        <v>1157</v>
      </c>
    </row>
    <row r="46" spans="1:7" ht="15">
      <c r="A46" s="426" t="s">
        <v>1076</v>
      </c>
      <c r="B46" s="55" t="s">
        <v>641</v>
      </c>
      <c r="C46" s="70" t="s">
        <v>34</v>
      </c>
      <c r="D46" s="48">
        <v>0.6</v>
      </c>
      <c r="E46" s="427">
        <f>1.25*17.39</f>
        <v>21.7375</v>
      </c>
      <c r="F46" s="66">
        <f t="shared" si="2"/>
        <v>13.0425</v>
      </c>
      <c r="G46" s="70" t="s">
        <v>1158</v>
      </c>
    </row>
    <row r="47" spans="1:7" ht="15">
      <c r="A47" s="426" t="s">
        <v>1077</v>
      </c>
      <c r="B47" s="55" t="s">
        <v>349</v>
      </c>
      <c r="C47" s="70" t="s">
        <v>34</v>
      </c>
      <c r="D47" s="48">
        <v>0.6</v>
      </c>
      <c r="E47" s="427">
        <f>1.25*13.76</f>
        <v>17.2</v>
      </c>
      <c r="F47" s="66">
        <f t="shared" si="2"/>
        <v>10.319999999999999</v>
      </c>
      <c r="G47" s="70" t="s">
        <v>1142</v>
      </c>
    </row>
    <row r="48" spans="1:7" ht="15">
      <c r="A48" s="103"/>
      <c r="B48" s="104"/>
      <c r="C48" s="105"/>
      <c r="D48" s="105"/>
      <c r="E48" s="63" t="s">
        <v>10</v>
      </c>
      <c r="F48" s="66">
        <f>SUM(F41:F47)</f>
        <v>6300.127500000001</v>
      </c>
      <c r="G48" s="92"/>
    </row>
    <row r="49" spans="1:7" ht="63.75">
      <c r="A49" s="78" t="s">
        <v>532</v>
      </c>
      <c r="B49" s="494" t="s">
        <v>96</v>
      </c>
      <c r="C49" s="59" t="s">
        <v>35</v>
      </c>
      <c r="D49" s="60" t="s">
        <v>6</v>
      </c>
      <c r="E49" s="61" t="s">
        <v>29</v>
      </c>
      <c r="F49" s="61" t="s">
        <v>8</v>
      </c>
      <c r="G49" s="79" t="s">
        <v>21</v>
      </c>
    </row>
    <row r="50" spans="1:7" ht="15">
      <c r="A50" s="426" t="s">
        <v>1078</v>
      </c>
      <c r="B50" s="361" t="s">
        <v>638</v>
      </c>
      <c r="C50" s="429" t="s">
        <v>9</v>
      </c>
      <c r="D50" s="425">
        <v>4.2</v>
      </c>
      <c r="E50" s="427">
        <f>1.25*454.47</f>
        <v>568.0875000000001</v>
      </c>
      <c r="F50" s="66">
        <f aca="true" t="shared" si="3" ref="F50:F56">D50*E50</f>
        <v>2385.9675000000007</v>
      </c>
      <c r="G50" s="70" t="s">
        <v>1154</v>
      </c>
    </row>
    <row r="51" spans="1:7" ht="25.5">
      <c r="A51" s="426" t="s">
        <v>1079</v>
      </c>
      <c r="B51" s="361" t="s">
        <v>639</v>
      </c>
      <c r="C51" s="429" t="s">
        <v>9</v>
      </c>
      <c r="D51" s="425">
        <v>4.2</v>
      </c>
      <c r="E51" s="427">
        <f>1.25*347.72</f>
        <v>434.65000000000003</v>
      </c>
      <c r="F51" s="66">
        <f t="shared" si="3"/>
        <v>1825.5300000000002</v>
      </c>
      <c r="G51" s="70" t="s">
        <v>1155</v>
      </c>
    </row>
    <row r="52" spans="1:7" ht="25.5">
      <c r="A52" s="426" t="s">
        <v>1080</v>
      </c>
      <c r="B52" s="55" t="s">
        <v>640</v>
      </c>
      <c r="C52" s="70" t="s">
        <v>9</v>
      </c>
      <c r="D52" s="48">
        <v>4.2</v>
      </c>
      <c r="E52" s="427">
        <f>1.25*347.72</f>
        <v>434.65000000000003</v>
      </c>
      <c r="F52" s="66">
        <f t="shared" si="3"/>
        <v>1825.5300000000002</v>
      </c>
      <c r="G52" s="70" t="s">
        <v>1155</v>
      </c>
    </row>
    <row r="53" spans="1:7" ht="15">
      <c r="A53" s="426" t="s">
        <v>1081</v>
      </c>
      <c r="B53" s="55" t="s">
        <v>642</v>
      </c>
      <c r="C53" s="70" t="s">
        <v>40</v>
      </c>
      <c r="D53" s="48">
        <v>3</v>
      </c>
      <c r="E53" s="427">
        <f>1.25*16</f>
        <v>20</v>
      </c>
      <c r="F53" s="66">
        <f t="shared" si="3"/>
        <v>60</v>
      </c>
      <c r="G53" s="70" t="s">
        <v>1156</v>
      </c>
    </row>
    <row r="54" spans="1:7" ht="25.5">
      <c r="A54" s="426" t="s">
        <v>1082</v>
      </c>
      <c r="B54" s="55" t="s">
        <v>400</v>
      </c>
      <c r="C54" s="70" t="s">
        <v>40</v>
      </c>
      <c r="D54" s="48">
        <v>3</v>
      </c>
      <c r="E54" s="427">
        <f>1.25*47.93</f>
        <v>59.9125</v>
      </c>
      <c r="F54" s="66">
        <f t="shared" si="3"/>
        <v>179.7375</v>
      </c>
      <c r="G54" s="70" t="s">
        <v>1157</v>
      </c>
    </row>
    <row r="55" spans="1:7" ht="15">
      <c r="A55" s="426" t="s">
        <v>1083</v>
      </c>
      <c r="B55" s="55" t="s">
        <v>641</v>
      </c>
      <c r="C55" s="70" t="s">
        <v>34</v>
      </c>
      <c r="D55" s="48">
        <v>0.6</v>
      </c>
      <c r="E55" s="427">
        <f>1.25*17.39</f>
        <v>21.7375</v>
      </c>
      <c r="F55" s="66">
        <f t="shared" si="3"/>
        <v>13.0425</v>
      </c>
      <c r="G55" s="70" t="s">
        <v>1158</v>
      </c>
    </row>
    <row r="56" spans="1:7" ht="15">
      <c r="A56" s="426" t="s">
        <v>1084</v>
      </c>
      <c r="B56" s="55" t="s">
        <v>349</v>
      </c>
      <c r="C56" s="70" t="s">
        <v>34</v>
      </c>
      <c r="D56" s="48">
        <v>0.6</v>
      </c>
      <c r="E56" s="427">
        <f>1.25*13.76</f>
        <v>17.2</v>
      </c>
      <c r="F56" s="66">
        <f t="shared" si="3"/>
        <v>10.319999999999999</v>
      </c>
      <c r="G56" s="70" t="s">
        <v>1142</v>
      </c>
    </row>
    <row r="57" spans="1:7" ht="15">
      <c r="A57" s="103"/>
      <c r="B57" s="104"/>
      <c r="C57" s="105"/>
      <c r="D57" s="105"/>
      <c r="E57" s="63" t="s">
        <v>10</v>
      </c>
      <c r="F57" s="66">
        <f>SUM(F50:F56)</f>
        <v>6300.127500000001</v>
      </c>
      <c r="G57" s="92"/>
    </row>
    <row r="58" spans="1:7" ht="63.75">
      <c r="A58" s="78" t="s">
        <v>533</v>
      </c>
      <c r="B58" s="494" t="s">
        <v>97</v>
      </c>
      <c r="C58" s="59" t="s">
        <v>35</v>
      </c>
      <c r="D58" s="60" t="s">
        <v>6</v>
      </c>
      <c r="E58" s="61" t="s">
        <v>29</v>
      </c>
      <c r="F58" s="61" t="s">
        <v>8</v>
      </c>
      <c r="G58" s="79" t="s">
        <v>21</v>
      </c>
    </row>
    <row r="59" spans="1:7" ht="15">
      <c r="A59" s="426" t="s">
        <v>1085</v>
      </c>
      <c r="B59" s="361" t="s">
        <v>638</v>
      </c>
      <c r="C59" s="429" t="s">
        <v>9</v>
      </c>
      <c r="D59" s="425">
        <v>5.02</v>
      </c>
      <c r="E59" s="427">
        <f>1.25*454.47</f>
        <v>568.0875000000001</v>
      </c>
      <c r="F59" s="66">
        <f aca="true" t="shared" si="4" ref="F59:F65">D59*E59</f>
        <v>2851.79925</v>
      </c>
      <c r="G59" s="70" t="s">
        <v>1154</v>
      </c>
    </row>
    <row r="60" spans="1:7" ht="25.5">
      <c r="A60" s="426" t="s">
        <v>1086</v>
      </c>
      <c r="B60" s="361" t="s">
        <v>639</v>
      </c>
      <c r="C60" s="429" t="s">
        <v>9</v>
      </c>
      <c r="D60" s="425">
        <f>0.34*6.25</f>
        <v>2.125</v>
      </c>
      <c r="E60" s="427">
        <f>1.25*347.72</f>
        <v>434.65000000000003</v>
      </c>
      <c r="F60" s="66">
        <f t="shared" si="4"/>
        <v>923.63125</v>
      </c>
      <c r="G60" s="70" t="s">
        <v>1155</v>
      </c>
    </row>
    <row r="61" spans="1:7" ht="25.5">
      <c r="A61" s="426" t="s">
        <v>1087</v>
      </c>
      <c r="B61" s="55" t="s">
        <v>640</v>
      </c>
      <c r="C61" s="70" t="s">
        <v>9</v>
      </c>
      <c r="D61" s="48">
        <v>4.35</v>
      </c>
      <c r="E61" s="427">
        <f>1.25*347.72</f>
        <v>434.65000000000003</v>
      </c>
      <c r="F61" s="66">
        <f t="shared" si="4"/>
        <v>1890.7275</v>
      </c>
      <c r="G61" s="70" t="s">
        <v>1155</v>
      </c>
    </row>
    <row r="62" spans="1:7" ht="15">
      <c r="A62" s="426" t="s">
        <v>1088</v>
      </c>
      <c r="B62" s="55" t="s">
        <v>642</v>
      </c>
      <c r="C62" s="70" t="s">
        <v>40</v>
      </c>
      <c r="D62" s="48">
        <v>3</v>
      </c>
      <c r="E62" s="427">
        <f>1.25*16</f>
        <v>20</v>
      </c>
      <c r="F62" s="66">
        <f t="shared" si="4"/>
        <v>60</v>
      </c>
      <c r="G62" s="70" t="s">
        <v>1156</v>
      </c>
    </row>
    <row r="63" spans="1:7" ht="25.5">
      <c r="A63" s="426" t="s">
        <v>1089</v>
      </c>
      <c r="B63" s="55" t="s">
        <v>400</v>
      </c>
      <c r="C63" s="70" t="s">
        <v>40</v>
      </c>
      <c r="D63" s="48">
        <v>3</v>
      </c>
      <c r="E63" s="427">
        <f>1.25*47.93</f>
        <v>59.9125</v>
      </c>
      <c r="F63" s="66">
        <f t="shared" si="4"/>
        <v>179.7375</v>
      </c>
      <c r="G63" s="70" t="s">
        <v>1157</v>
      </c>
    </row>
    <row r="64" spans="1:7" ht="15">
      <c r="A64" s="426" t="s">
        <v>1090</v>
      </c>
      <c r="B64" s="55" t="s">
        <v>641</v>
      </c>
      <c r="C64" s="70" t="s">
        <v>34</v>
      </c>
      <c r="D64" s="48">
        <v>0.6</v>
      </c>
      <c r="E64" s="427">
        <f>1.25*17.39</f>
        <v>21.7375</v>
      </c>
      <c r="F64" s="66">
        <f t="shared" si="4"/>
        <v>13.0425</v>
      </c>
      <c r="G64" s="70" t="s">
        <v>1158</v>
      </c>
    </row>
    <row r="65" spans="1:7" ht="15">
      <c r="A65" s="426" t="s">
        <v>1091</v>
      </c>
      <c r="B65" s="55" t="s">
        <v>349</v>
      </c>
      <c r="C65" s="70" t="s">
        <v>34</v>
      </c>
      <c r="D65" s="48">
        <v>0.6</v>
      </c>
      <c r="E65" s="427">
        <f>1.25*13.76</f>
        <v>17.2</v>
      </c>
      <c r="F65" s="66">
        <f t="shared" si="4"/>
        <v>10.319999999999999</v>
      </c>
      <c r="G65" s="70" t="s">
        <v>1142</v>
      </c>
    </row>
    <row r="66" spans="1:7" ht="15">
      <c r="A66" s="103"/>
      <c r="B66" s="104"/>
      <c r="C66" s="105"/>
      <c r="D66" s="105"/>
      <c r="E66" s="63" t="s">
        <v>10</v>
      </c>
      <c r="F66" s="66">
        <f>SUM(F59:F65)</f>
        <v>5929.257999999999</v>
      </c>
      <c r="G66" s="92"/>
    </row>
    <row r="67" spans="1:7" ht="63.75">
      <c r="A67" s="78" t="s">
        <v>534</v>
      </c>
      <c r="B67" s="494" t="s">
        <v>98</v>
      </c>
      <c r="C67" s="59" t="s">
        <v>35</v>
      </c>
      <c r="D67" s="60" t="s">
        <v>6</v>
      </c>
      <c r="E67" s="61" t="s">
        <v>29</v>
      </c>
      <c r="F67" s="61" t="s">
        <v>8</v>
      </c>
      <c r="G67" s="79" t="s">
        <v>21</v>
      </c>
    </row>
    <row r="68" spans="1:7" ht="15">
      <c r="A68" s="73" t="s">
        <v>1092</v>
      </c>
      <c r="B68" s="361" t="s">
        <v>638</v>
      </c>
      <c r="C68" s="429" t="s">
        <v>9</v>
      </c>
      <c r="D68" s="425">
        <v>2.594</v>
      </c>
      <c r="E68" s="427">
        <f>1.25*454.47</f>
        <v>568.0875000000001</v>
      </c>
      <c r="F68" s="66">
        <f aca="true" t="shared" si="5" ref="F68:F74">D68*E68</f>
        <v>1473.618975</v>
      </c>
      <c r="G68" s="70" t="s">
        <v>1154</v>
      </c>
    </row>
    <row r="69" spans="1:7" ht="25.5">
      <c r="A69" s="73" t="s">
        <v>1093</v>
      </c>
      <c r="B69" s="361" t="s">
        <v>639</v>
      </c>
      <c r="C69" s="429" t="s">
        <v>9</v>
      </c>
      <c r="D69" s="425">
        <v>2.41</v>
      </c>
      <c r="E69" s="427">
        <f>1.25*347.72</f>
        <v>434.65000000000003</v>
      </c>
      <c r="F69" s="66">
        <f t="shared" si="5"/>
        <v>1047.5065000000002</v>
      </c>
      <c r="G69" s="70" t="s">
        <v>1155</v>
      </c>
    </row>
    <row r="70" spans="1:7" ht="25.5">
      <c r="A70" s="73" t="s">
        <v>1094</v>
      </c>
      <c r="B70" s="55" t="s">
        <v>640</v>
      </c>
      <c r="C70" s="70" t="s">
        <v>9</v>
      </c>
      <c r="D70" s="48">
        <f>3.85*0.54</f>
        <v>2.079</v>
      </c>
      <c r="E70" s="427">
        <f>1.25*347.72</f>
        <v>434.65000000000003</v>
      </c>
      <c r="F70" s="66">
        <f t="shared" si="5"/>
        <v>903.6373500000002</v>
      </c>
      <c r="G70" s="70" t="s">
        <v>1155</v>
      </c>
    </row>
    <row r="71" spans="1:7" ht="15">
      <c r="A71" s="73" t="s">
        <v>1095</v>
      </c>
      <c r="B71" s="55" t="s">
        <v>642</v>
      </c>
      <c r="C71" s="70" t="s">
        <v>40</v>
      </c>
      <c r="D71" s="48">
        <v>2</v>
      </c>
      <c r="E71" s="427">
        <f>1.25*16</f>
        <v>20</v>
      </c>
      <c r="F71" s="66">
        <f t="shared" si="5"/>
        <v>40</v>
      </c>
      <c r="G71" s="70" t="s">
        <v>1156</v>
      </c>
    </row>
    <row r="72" spans="1:7" ht="25.5">
      <c r="A72" s="73" t="s">
        <v>1096</v>
      </c>
      <c r="B72" s="55" t="s">
        <v>400</v>
      </c>
      <c r="C72" s="70" t="s">
        <v>40</v>
      </c>
      <c r="D72" s="48">
        <v>2</v>
      </c>
      <c r="E72" s="427">
        <f>1.25*47.93</f>
        <v>59.9125</v>
      </c>
      <c r="F72" s="66">
        <f t="shared" si="5"/>
        <v>119.825</v>
      </c>
      <c r="G72" s="70" t="s">
        <v>1157</v>
      </c>
    </row>
    <row r="73" spans="1:7" ht="15">
      <c r="A73" s="73" t="s">
        <v>1097</v>
      </c>
      <c r="B73" s="55" t="s">
        <v>641</v>
      </c>
      <c r="C73" s="70" t="s">
        <v>34</v>
      </c>
      <c r="D73" s="48">
        <v>0.4</v>
      </c>
      <c r="E73" s="427">
        <f>1.25*17.39</f>
        <v>21.7375</v>
      </c>
      <c r="F73" s="66">
        <f t="shared" si="5"/>
        <v>8.695</v>
      </c>
      <c r="G73" s="70" t="s">
        <v>1158</v>
      </c>
    </row>
    <row r="74" spans="1:7" ht="15">
      <c r="A74" s="73" t="s">
        <v>1098</v>
      </c>
      <c r="B74" s="55" t="s">
        <v>349</v>
      </c>
      <c r="C74" s="70" t="s">
        <v>34</v>
      </c>
      <c r="D74" s="48">
        <v>0.4</v>
      </c>
      <c r="E74" s="427">
        <f>1.25*13.76</f>
        <v>17.2</v>
      </c>
      <c r="F74" s="66">
        <f t="shared" si="5"/>
        <v>6.88</v>
      </c>
      <c r="G74" s="70" t="s">
        <v>1142</v>
      </c>
    </row>
    <row r="75" spans="1:7" s="46" customFormat="1" ht="15">
      <c r="A75" s="103"/>
      <c r="B75" s="104"/>
      <c r="C75" s="105"/>
      <c r="D75" s="105"/>
      <c r="E75" s="63" t="s">
        <v>10</v>
      </c>
      <c r="F75" s="66">
        <f>SUM(F68:F74)</f>
        <v>3600.162825000001</v>
      </c>
      <c r="G75" s="92"/>
    </row>
    <row r="76" spans="1:7" ht="76.5">
      <c r="A76" s="78" t="s">
        <v>535</v>
      </c>
      <c r="B76" s="494" t="s">
        <v>99</v>
      </c>
      <c r="C76" s="59" t="s">
        <v>35</v>
      </c>
      <c r="D76" s="60" t="s">
        <v>6</v>
      </c>
      <c r="E76" s="61" t="s">
        <v>29</v>
      </c>
      <c r="F76" s="61" t="s">
        <v>8</v>
      </c>
      <c r="G76" s="79" t="s">
        <v>21</v>
      </c>
    </row>
    <row r="77" spans="1:7" ht="38.25">
      <c r="A77" s="464" t="s">
        <v>1099</v>
      </c>
      <c r="B77" s="55" t="s">
        <v>643</v>
      </c>
      <c r="C77" s="70" t="s">
        <v>9</v>
      </c>
      <c r="D77" s="48">
        <f>2.46*1.11</f>
        <v>2.7306000000000004</v>
      </c>
      <c r="E77" s="427">
        <f>1.25*474.42</f>
        <v>593.025</v>
      </c>
      <c r="F77" s="66">
        <f>D77*E77</f>
        <v>1619.3140650000003</v>
      </c>
      <c r="G77" s="70" t="s">
        <v>1159</v>
      </c>
    </row>
    <row r="78" spans="1:7" ht="25.5">
      <c r="A78" s="464" t="s">
        <v>1100</v>
      </c>
      <c r="B78" s="465" t="s">
        <v>401</v>
      </c>
      <c r="C78" s="70" t="s">
        <v>40</v>
      </c>
      <c r="D78" s="48">
        <v>1</v>
      </c>
      <c r="E78" s="427">
        <f>1.25*102.96/3</f>
        <v>42.9</v>
      </c>
      <c r="F78" s="66">
        <f>D78*E78</f>
        <v>42.9</v>
      </c>
      <c r="G78" s="70" t="s">
        <v>45</v>
      </c>
    </row>
    <row r="79" spans="1:7" ht="15">
      <c r="A79" s="464" t="s">
        <v>1101</v>
      </c>
      <c r="B79" s="55" t="s">
        <v>641</v>
      </c>
      <c r="C79" s="70" t="s">
        <v>34</v>
      </c>
      <c r="D79" s="48">
        <v>0.3</v>
      </c>
      <c r="E79" s="427">
        <f>1.25*17.39</f>
        <v>21.7375</v>
      </c>
      <c r="F79" s="66">
        <f>D79*E79</f>
        <v>6.52125</v>
      </c>
      <c r="G79" s="70" t="s">
        <v>1158</v>
      </c>
    </row>
    <row r="80" spans="1:7" ht="15">
      <c r="A80" s="464" t="s">
        <v>1102</v>
      </c>
      <c r="B80" s="55" t="s">
        <v>349</v>
      </c>
      <c r="C80" s="70" t="s">
        <v>34</v>
      </c>
      <c r="D80" s="48">
        <v>0.3</v>
      </c>
      <c r="E80" s="427">
        <f>1.25*13.76</f>
        <v>17.2</v>
      </c>
      <c r="F80" s="66">
        <f>D80*E80</f>
        <v>5.159999999999999</v>
      </c>
      <c r="G80" s="70" t="s">
        <v>1142</v>
      </c>
    </row>
    <row r="81" spans="1:6" ht="15">
      <c r="A81" s="73"/>
      <c r="B81" s="55"/>
      <c r="C81" s="70"/>
      <c r="E81" s="63" t="s">
        <v>10</v>
      </c>
      <c r="F81" s="66">
        <f>SUM(F77:F80)</f>
        <v>1673.8953150000004</v>
      </c>
    </row>
    <row r="82" spans="1:7" ht="38.25">
      <c r="A82" s="78" t="s">
        <v>536</v>
      </c>
      <c r="B82" s="494" t="s">
        <v>100</v>
      </c>
      <c r="C82" s="59" t="s">
        <v>35</v>
      </c>
      <c r="D82" s="60" t="s">
        <v>6</v>
      </c>
      <c r="E82" s="61" t="s">
        <v>29</v>
      </c>
      <c r="F82" s="61" t="s">
        <v>8</v>
      </c>
      <c r="G82" s="79" t="s">
        <v>21</v>
      </c>
    </row>
    <row r="83" spans="1:7" ht="25.5">
      <c r="A83" s="464" t="s">
        <v>1103</v>
      </c>
      <c r="B83" s="55" t="s">
        <v>402</v>
      </c>
      <c r="C83" s="70" t="s">
        <v>9</v>
      </c>
      <c r="D83" s="48">
        <f>0.6*0.6</f>
        <v>0.36</v>
      </c>
      <c r="E83" s="427">
        <f>1.25*347.72</f>
        <v>434.65000000000003</v>
      </c>
      <c r="F83" s="66">
        <f>D83*E83</f>
        <v>156.47400000000002</v>
      </c>
      <c r="G83" s="70" t="s">
        <v>1155</v>
      </c>
    </row>
    <row r="84" spans="2:7" ht="15">
      <c r="B84" s="104"/>
      <c r="C84" s="105"/>
      <c r="D84" s="105"/>
      <c r="E84" s="466" t="s">
        <v>10</v>
      </c>
      <c r="F84" s="366">
        <f>SUM(F83:F83)</f>
        <v>156.47400000000002</v>
      </c>
      <c r="G84" s="92"/>
    </row>
    <row r="85" spans="1:7" ht="51">
      <c r="A85" s="78" t="s">
        <v>537</v>
      </c>
      <c r="B85" s="494" t="s">
        <v>644</v>
      </c>
      <c r="C85" s="59" t="s">
        <v>35</v>
      </c>
      <c r="D85" s="60" t="s">
        <v>6</v>
      </c>
      <c r="E85" s="61" t="s">
        <v>29</v>
      </c>
      <c r="F85" s="61" t="s">
        <v>8</v>
      </c>
      <c r="G85" s="79" t="s">
        <v>21</v>
      </c>
    </row>
    <row r="86" spans="1:7" ht="25.5">
      <c r="A86" s="464" t="s">
        <v>1104</v>
      </c>
      <c r="B86" s="361" t="s">
        <v>645</v>
      </c>
      <c r="C86" s="70" t="s">
        <v>1426</v>
      </c>
      <c r="D86" s="48">
        <f>0.3*6.85</f>
        <v>2.0549999999999997</v>
      </c>
      <c r="E86" s="427">
        <f>1.25*454.43</f>
        <v>568.0375</v>
      </c>
      <c r="F86" s="66">
        <f>D86*E86</f>
        <v>1167.3170624999998</v>
      </c>
      <c r="G86" s="70" t="s">
        <v>1235</v>
      </c>
    </row>
    <row r="87" spans="1:7" ht="15">
      <c r="A87" s="464" t="s">
        <v>1105</v>
      </c>
      <c r="B87" s="55" t="s">
        <v>646</v>
      </c>
      <c r="C87" s="70" t="s">
        <v>9</v>
      </c>
      <c r="D87" s="48">
        <f>0.3*6.85</f>
        <v>2.0549999999999997</v>
      </c>
      <c r="E87" s="427">
        <f>1.25*347.72</f>
        <v>434.65000000000003</v>
      </c>
      <c r="F87" s="66">
        <f>D87*E87</f>
        <v>893.20575</v>
      </c>
      <c r="G87" s="70" t="s">
        <v>1155</v>
      </c>
    </row>
    <row r="88" spans="2:7" ht="15">
      <c r="B88" s="104"/>
      <c r="C88" s="105"/>
      <c r="D88" s="105"/>
      <c r="E88" s="466" t="s">
        <v>10</v>
      </c>
      <c r="F88" s="366">
        <f>SUM(F86:F87)</f>
        <v>2060.5228125</v>
      </c>
      <c r="G88" s="92"/>
    </row>
    <row r="89" spans="1:7" ht="38.25">
      <c r="A89" s="78" t="s">
        <v>1060</v>
      </c>
      <c r="B89" s="494" t="s">
        <v>103</v>
      </c>
      <c r="C89" s="59" t="s">
        <v>35</v>
      </c>
      <c r="D89" s="60" t="s">
        <v>6</v>
      </c>
      <c r="E89" s="61" t="s">
        <v>29</v>
      </c>
      <c r="F89" s="61" t="s">
        <v>8</v>
      </c>
      <c r="G89" s="79" t="s">
        <v>21</v>
      </c>
    </row>
    <row r="90" spans="1:7" ht="15">
      <c r="A90" s="464" t="s">
        <v>1106</v>
      </c>
      <c r="B90" s="55" t="s">
        <v>404</v>
      </c>
      <c r="C90" s="70" t="s">
        <v>40</v>
      </c>
      <c r="D90" s="48">
        <v>1</v>
      </c>
      <c r="E90" s="63">
        <f>1.25*675.98</f>
        <v>844.975</v>
      </c>
      <c r="F90" s="66">
        <f>D90*E90</f>
        <v>844.975</v>
      </c>
      <c r="G90" s="70" t="s">
        <v>45</v>
      </c>
    </row>
    <row r="91" spans="1:7" ht="15">
      <c r="A91" s="464" t="s">
        <v>1107</v>
      </c>
      <c r="B91" s="55" t="s">
        <v>349</v>
      </c>
      <c r="C91" s="70" t="s">
        <v>34</v>
      </c>
      <c r="D91" s="48">
        <v>0.3</v>
      </c>
      <c r="E91" s="63">
        <f>1.25*13.76</f>
        <v>17.2</v>
      </c>
      <c r="F91" s="66">
        <f>D91*E91</f>
        <v>5.159999999999999</v>
      </c>
      <c r="G91" s="70" t="s">
        <v>1142</v>
      </c>
    </row>
    <row r="92" spans="1:7" ht="15">
      <c r="A92" s="464" t="s">
        <v>1108</v>
      </c>
      <c r="B92" s="55" t="s">
        <v>403</v>
      </c>
      <c r="C92" s="70" t="s">
        <v>34</v>
      </c>
      <c r="D92" s="48">
        <v>0.75</v>
      </c>
      <c r="E92" s="63">
        <f>1.25*16.29</f>
        <v>20.362499999999997</v>
      </c>
      <c r="F92" s="66">
        <f>D92*E92</f>
        <v>15.271874999999998</v>
      </c>
      <c r="G92" s="70" t="s">
        <v>1160</v>
      </c>
    </row>
    <row r="93" spans="5:6" ht="15">
      <c r="E93" s="466" t="s">
        <v>10</v>
      </c>
      <c r="F93" s="366">
        <f>SUM(F90:F92)</f>
        <v>865.406875</v>
      </c>
    </row>
    <row r="94" spans="1:7" ht="25.5">
      <c r="A94" s="78" t="s">
        <v>1061</v>
      </c>
      <c r="B94" s="494" t="s">
        <v>104</v>
      </c>
      <c r="C94" s="59" t="s">
        <v>35</v>
      </c>
      <c r="D94" s="60" t="s">
        <v>6</v>
      </c>
      <c r="E94" s="61" t="s">
        <v>29</v>
      </c>
      <c r="F94" s="61" t="s">
        <v>8</v>
      </c>
      <c r="G94" s="79" t="s">
        <v>21</v>
      </c>
    </row>
    <row r="95" spans="1:7" ht="25.5">
      <c r="A95" s="464" t="s">
        <v>1109</v>
      </c>
      <c r="B95" s="55" t="s">
        <v>104</v>
      </c>
      <c r="C95" s="70" t="s">
        <v>40</v>
      </c>
      <c r="D95" s="48">
        <v>1</v>
      </c>
      <c r="E95" s="432">
        <f>1.25*186</f>
        <v>232.5</v>
      </c>
      <c r="F95" s="66">
        <f>D95*E95</f>
        <v>232.5</v>
      </c>
      <c r="G95" s="70" t="s">
        <v>45</v>
      </c>
    </row>
    <row r="96" spans="1:7" ht="15">
      <c r="A96" s="464" t="s">
        <v>1110</v>
      </c>
      <c r="B96" s="55" t="s">
        <v>641</v>
      </c>
      <c r="C96" s="70" t="s">
        <v>34</v>
      </c>
      <c r="D96" s="48">
        <v>2</v>
      </c>
      <c r="E96" s="63">
        <f>1.25*17.39</f>
        <v>21.7375</v>
      </c>
      <c r="F96" s="66">
        <f>D96*E96</f>
        <v>43.475</v>
      </c>
      <c r="G96" s="70" t="s">
        <v>1158</v>
      </c>
    </row>
    <row r="97" spans="5:6" ht="15">
      <c r="E97" s="466" t="s">
        <v>10</v>
      </c>
      <c r="F97" s="366">
        <f>SUM(F95:F96)</f>
        <v>275.975</v>
      </c>
    </row>
    <row r="98" spans="1:7" ht="63.75">
      <c r="A98" s="78" t="s">
        <v>1063</v>
      </c>
      <c r="B98" s="611" t="s">
        <v>656</v>
      </c>
      <c r="C98" s="59" t="s">
        <v>5</v>
      </c>
      <c r="D98" s="60" t="s">
        <v>6</v>
      </c>
      <c r="E98" s="61" t="s">
        <v>29</v>
      </c>
      <c r="F98" s="61" t="s">
        <v>8</v>
      </c>
      <c r="G98" s="62" t="s">
        <v>30</v>
      </c>
    </row>
    <row r="99" spans="1:7" ht="51">
      <c r="A99" s="429" t="s">
        <v>1112</v>
      </c>
      <c r="B99" s="410" t="s">
        <v>1111</v>
      </c>
      <c r="C99" s="461" t="s">
        <v>9</v>
      </c>
      <c r="D99" s="48">
        <v>168.192</v>
      </c>
      <c r="E99" s="63">
        <f>1.25*70015.76/D99</f>
        <v>520.3559027777777</v>
      </c>
      <c r="F99" s="66">
        <f aca="true" t="shared" si="6" ref="F99:F104">D99*E99</f>
        <v>87519.7</v>
      </c>
      <c r="G99" s="442" t="s">
        <v>45</v>
      </c>
    </row>
    <row r="100" spans="1:7" ht="15">
      <c r="A100" s="429" t="s">
        <v>1113</v>
      </c>
      <c r="B100" s="410" t="s">
        <v>1119</v>
      </c>
      <c r="C100" s="461" t="s">
        <v>1118</v>
      </c>
      <c r="D100" s="48">
        <f>671.9*168.18*0.1</f>
        <v>11300.014200000001</v>
      </c>
      <c r="E100" s="432">
        <f>1.25*0.42</f>
        <v>0.525</v>
      </c>
      <c r="F100" s="66">
        <f t="shared" si="6"/>
        <v>5932.507455000001</v>
      </c>
      <c r="G100" s="442" t="s">
        <v>1236</v>
      </c>
    </row>
    <row r="101" spans="1:7" ht="15">
      <c r="A101" s="429" t="s">
        <v>1114</v>
      </c>
      <c r="B101" s="407" t="s">
        <v>560</v>
      </c>
      <c r="C101" s="362" t="s">
        <v>40</v>
      </c>
      <c r="D101" s="48">
        <f>1188+144</f>
        <v>1332</v>
      </c>
      <c r="E101" s="432">
        <f>1.25*3.47</f>
        <v>4.3375</v>
      </c>
      <c r="F101" s="66">
        <f t="shared" si="6"/>
        <v>5777.55</v>
      </c>
      <c r="G101" s="364" t="s">
        <v>1161</v>
      </c>
    </row>
    <row r="102" spans="1:7" ht="25.5">
      <c r="A102" s="429" t="s">
        <v>1115</v>
      </c>
      <c r="B102" s="407" t="s">
        <v>655</v>
      </c>
      <c r="C102" s="70" t="s">
        <v>44</v>
      </c>
      <c r="D102" s="48">
        <v>4.2</v>
      </c>
      <c r="E102" s="432">
        <f>1.25*136.35</f>
        <v>170.4375</v>
      </c>
      <c r="F102" s="66">
        <f t="shared" si="6"/>
        <v>715.8375</v>
      </c>
      <c r="G102" s="364" t="s">
        <v>1162</v>
      </c>
    </row>
    <row r="103" spans="1:7" ht="15">
      <c r="A103" s="429" t="s">
        <v>1116</v>
      </c>
      <c r="B103" s="504" t="s">
        <v>561</v>
      </c>
      <c r="C103" s="461" t="s">
        <v>34</v>
      </c>
      <c r="D103" s="48">
        <f>0.24*168.192</f>
        <v>40.366080000000004</v>
      </c>
      <c r="E103" s="432">
        <f>1.25*19.34</f>
        <v>24.175</v>
      </c>
      <c r="F103" s="66">
        <f t="shared" si="6"/>
        <v>975.8499840000001</v>
      </c>
      <c r="G103" s="364" t="s">
        <v>1150</v>
      </c>
    </row>
    <row r="104" spans="1:7" ht="15">
      <c r="A104" s="429" t="s">
        <v>1117</v>
      </c>
      <c r="B104" s="504" t="s">
        <v>627</v>
      </c>
      <c r="C104" s="461" t="s">
        <v>34</v>
      </c>
      <c r="D104" s="48">
        <f>0.24*168.192</f>
        <v>40.366080000000004</v>
      </c>
      <c r="E104" s="432">
        <f>1.25*15.22</f>
        <v>19.025000000000002</v>
      </c>
      <c r="F104" s="66">
        <f t="shared" si="6"/>
        <v>767.9646720000002</v>
      </c>
      <c r="G104" s="364" t="s">
        <v>1163</v>
      </c>
    </row>
    <row r="105" spans="5:6" ht="15">
      <c r="E105" s="506" t="s">
        <v>31</v>
      </c>
      <c r="F105" s="366">
        <f>SUM(F99:F104)</f>
        <v>101689.409611</v>
      </c>
    </row>
  </sheetData>
  <sheetProtection password="E5F2" sheet="1" objects="1" scenarios="1" selectLockedCells="1" selectUnlockedCells="1"/>
  <mergeCells count="12">
    <mergeCell ref="A1:F1"/>
    <mergeCell ref="A2:F2"/>
    <mergeCell ref="A3:F3"/>
    <mergeCell ref="A4:F4"/>
    <mergeCell ref="A5:F5"/>
    <mergeCell ref="A6:F6"/>
    <mergeCell ref="C8:F8"/>
    <mergeCell ref="A28:F28"/>
    <mergeCell ref="C9:F9"/>
    <mergeCell ref="C13:F13"/>
    <mergeCell ref="C22:F22"/>
    <mergeCell ref="C26:F2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E16" sqref="E16"/>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16" s="5" customFormat="1" ht="30" customHeight="1" thickBot="1">
      <c r="A7" s="16" t="s">
        <v>1</v>
      </c>
      <c r="B7" s="17" t="s">
        <v>4</v>
      </c>
      <c r="C7" s="18" t="s">
        <v>35</v>
      </c>
      <c r="D7" s="26" t="s">
        <v>6</v>
      </c>
      <c r="E7" s="27" t="s">
        <v>7</v>
      </c>
      <c r="F7" s="28" t="s">
        <v>8</v>
      </c>
      <c r="G7" s="89"/>
      <c r="I7" s="86"/>
      <c r="J7" s="86"/>
      <c r="K7" s="86"/>
      <c r="L7" s="86"/>
      <c r="M7" s="86"/>
      <c r="N7" s="86"/>
      <c r="O7" s="86"/>
      <c r="P7" s="86"/>
    </row>
    <row r="8" spans="1:16" s="19" customFormat="1" ht="30" customHeight="1" thickBot="1">
      <c r="A8" s="82">
        <v>7</v>
      </c>
      <c r="B8" s="83" t="str">
        <f>GERAL!B13</f>
        <v>VIDROS</v>
      </c>
      <c r="C8" s="756">
        <f>SUM(F9:F9)</f>
        <v>1341.388575</v>
      </c>
      <c r="D8" s="757"/>
      <c r="E8" s="757"/>
      <c r="F8" s="758"/>
      <c r="G8" s="493" t="s">
        <v>21</v>
      </c>
      <c r="I8" s="87"/>
      <c r="J8" s="87"/>
      <c r="K8" s="87"/>
      <c r="L8" s="87"/>
      <c r="M8" s="87"/>
      <c r="N8" s="87"/>
      <c r="O8" s="87"/>
      <c r="P8" s="87"/>
    </row>
    <row r="9" spans="1:16" ht="26.25" thickBot="1">
      <c r="A9" s="597" t="s">
        <v>742</v>
      </c>
      <c r="B9" s="370" t="s">
        <v>107</v>
      </c>
      <c r="C9" s="280" t="s">
        <v>11</v>
      </c>
      <c r="D9" s="281">
        <v>9</v>
      </c>
      <c r="E9" s="282">
        <f>F18</f>
        <v>149.043175</v>
      </c>
      <c r="F9" s="283">
        <f>D9*E9</f>
        <v>1341.388575</v>
      </c>
      <c r="G9" s="232" t="s">
        <v>33</v>
      </c>
      <c r="I9" s="93"/>
      <c r="J9" s="93"/>
      <c r="K9" s="93"/>
      <c r="L9" s="93"/>
      <c r="M9" s="93"/>
      <c r="N9" s="93"/>
      <c r="O9" s="93"/>
      <c r="P9" s="93"/>
    </row>
    <row r="10" spans="1:6" ht="30" customHeight="1" thickBot="1">
      <c r="A10" s="753"/>
      <c r="B10" s="754"/>
      <c r="C10" s="754"/>
      <c r="D10" s="754"/>
      <c r="E10" s="754"/>
      <c r="F10" s="755"/>
    </row>
    <row r="12" spans="1:7" ht="19.5" customHeight="1">
      <c r="A12" s="72"/>
      <c r="B12" s="57" t="s">
        <v>28</v>
      </c>
      <c r="C12" s="56"/>
      <c r="D12" s="56"/>
      <c r="E12" s="56"/>
      <c r="F12" s="56"/>
      <c r="G12" s="58"/>
    </row>
    <row r="13" spans="1:7" ht="25.5">
      <c r="A13" s="78" t="s">
        <v>742</v>
      </c>
      <c r="B13" s="494" t="s">
        <v>107</v>
      </c>
      <c r="C13" s="59" t="s">
        <v>35</v>
      </c>
      <c r="D13" s="60" t="s">
        <v>6</v>
      </c>
      <c r="E13" s="61" t="s">
        <v>29</v>
      </c>
      <c r="F13" s="61" t="s">
        <v>8</v>
      </c>
      <c r="G13" s="79" t="s">
        <v>21</v>
      </c>
    </row>
    <row r="14" spans="1:7" ht="12.75">
      <c r="A14" s="73" t="s">
        <v>743</v>
      </c>
      <c r="B14" s="55" t="s">
        <v>293</v>
      </c>
      <c r="C14" s="70" t="s">
        <v>9</v>
      </c>
      <c r="D14" s="48">
        <f>0.2*0.9*1.05*2</f>
        <v>0.37800000000000006</v>
      </c>
      <c r="E14" s="63">
        <f>1.25*86.43</f>
        <v>108.03750000000001</v>
      </c>
      <c r="F14" s="66">
        <f>D14*E14</f>
        <v>40.83817500000001</v>
      </c>
      <c r="G14" s="70" t="s">
        <v>1164</v>
      </c>
    </row>
    <row r="15" spans="1:7" ht="38.25">
      <c r="A15" s="73" t="s">
        <v>744</v>
      </c>
      <c r="B15" s="409" t="s">
        <v>352</v>
      </c>
      <c r="C15" s="70" t="s">
        <v>44</v>
      </c>
      <c r="D15" s="48">
        <f>2*2*(0.2+0.9)</f>
        <v>4.4</v>
      </c>
      <c r="E15" s="63">
        <f>1.25*2.96</f>
        <v>3.7</v>
      </c>
      <c r="F15" s="66">
        <f>D15*E15</f>
        <v>16.28</v>
      </c>
      <c r="G15" s="70" t="s">
        <v>1165</v>
      </c>
    </row>
    <row r="16" spans="1:7" ht="12.75">
      <c r="A16" s="73" t="s">
        <v>745</v>
      </c>
      <c r="B16" s="55" t="s">
        <v>291</v>
      </c>
      <c r="C16" s="70" t="s">
        <v>34</v>
      </c>
      <c r="D16" s="48">
        <v>2</v>
      </c>
      <c r="E16" s="63">
        <f>1.25*17.39</f>
        <v>21.7375</v>
      </c>
      <c r="F16" s="66">
        <f>D16*E16</f>
        <v>43.475</v>
      </c>
      <c r="G16" s="70" t="s">
        <v>1158</v>
      </c>
    </row>
    <row r="17" spans="1:7" ht="12.75">
      <c r="A17" s="73" t="s">
        <v>746</v>
      </c>
      <c r="B17" s="55" t="s">
        <v>292</v>
      </c>
      <c r="C17" s="81" t="s">
        <v>34</v>
      </c>
      <c r="D17" s="48">
        <v>2</v>
      </c>
      <c r="E17" s="63">
        <f>1.25*19.38</f>
        <v>24.224999999999998</v>
      </c>
      <c r="F17" s="66">
        <f>D17*E17</f>
        <v>48.449999999999996</v>
      </c>
      <c r="G17" s="70" t="s">
        <v>1166</v>
      </c>
    </row>
    <row r="18" spans="1:7" ht="12.75">
      <c r="A18" s="103"/>
      <c r="B18" s="104"/>
      <c r="C18" s="105"/>
      <c r="D18" s="105"/>
      <c r="E18" s="63" t="s">
        <v>10</v>
      </c>
      <c r="F18" s="66">
        <f>SUM(F14:F17)</f>
        <v>149.043175</v>
      </c>
      <c r="G18" s="92"/>
    </row>
    <row r="19" spans="1:7" ht="15">
      <c r="A19" s="106"/>
      <c r="B19" s="107"/>
      <c r="C19" s="108"/>
      <c r="D19" s="108"/>
      <c r="E19" s="109"/>
      <c r="F19" s="108"/>
      <c r="G19" s="258"/>
    </row>
    <row r="20" spans="1:7" ht="15">
      <c r="A20" s="106"/>
      <c r="B20" s="107"/>
      <c r="C20" s="108"/>
      <c r="D20" s="108"/>
      <c r="E20" s="109"/>
      <c r="F20" s="108"/>
      <c r="G20" s="258"/>
    </row>
    <row r="21" spans="1:7" ht="15">
      <c r="A21" s="106"/>
      <c r="B21" s="107"/>
      <c r="C21" s="108"/>
      <c r="D21" s="108"/>
      <c r="E21" s="109"/>
      <c r="F21" s="108"/>
      <c r="G21" s="258"/>
    </row>
    <row r="22" spans="1:7" ht="15">
      <c r="A22" s="106"/>
      <c r="B22" s="107"/>
      <c r="C22" s="108"/>
      <c r="D22" s="108"/>
      <c r="E22" s="109"/>
      <c r="F22" s="108"/>
      <c r="G22" s="258"/>
    </row>
    <row r="23" spans="1:7" ht="15">
      <c r="A23" s="106"/>
      <c r="B23" s="107"/>
      <c r="C23" s="108"/>
      <c r="D23" s="108"/>
      <c r="E23" s="109"/>
      <c r="F23" s="108"/>
      <c r="G23" s="258"/>
    </row>
  </sheetData>
  <sheetProtection password="E5F2" sheet="1" objects="1" scenarios="1" selectLockedCells="1" selectUnlockedCells="1"/>
  <mergeCells count="8">
    <mergeCell ref="C8:F8"/>
    <mergeCell ref="A10:F1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
      <selection activeCell="F11" sqref="F11"/>
    </sheetView>
  </sheetViews>
  <sheetFormatPr defaultColWidth="9.140625" defaultRowHeight="12.75"/>
  <cols>
    <col min="1" max="1" width="10.7109375" style="75" customWidth="1"/>
    <col min="2" max="2" width="60.7109375" style="6" customWidth="1"/>
    <col min="3" max="4" width="10.7109375" style="7" customWidth="1"/>
    <col min="5" max="5" width="15.7109375" style="4" customWidth="1"/>
    <col min="6" max="6" width="15.7109375" style="7" customWidth="1"/>
    <col min="7" max="7" width="20.7109375" style="33" customWidth="1"/>
  </cols>
  <sheetData>
    <row r="1" spans="1:7" s="9" customFormat="1" ht="19.5" customHeight="1">
      <c r="A1" s="747"/>
      <c r="B1" s="748"/>
      <c r="C1" s="748"/>
      <c r="D1" s="748"/>
      <c r="E1" s="748"/>
      <c r="F1" s="749"/>
      <c r="G1" s="31"/>
    </row>
    <row r="2" spans="1:7" s="9" customFormat="1" ht="19.5" customHeight="1">
      <c r="A2" s="759" t="s">
        <v>2</v>
      </c>
      <c r="B2" s="760"/>
      <c r="C2" s="760"/>
      <c r="D2" s="760"/>
      <c r="E2" s="760"/>
      <c r="F2" s="761"/>
      <c r="G2" s="31"/>
    </row>
    <row r="3" spans="1:7" s="9" customFormat="1" ht="19.5" customHeight="1">
      <c r="A3" s="759" t="s">
        <v>3</v>
      </c>
      <c r="B3" s="760"/>
      <c r="C3" s="760"/>
      <c r="D3" s="760"/>
      <c r="E3" s="760"/>
      <c r="F3" s="761"/>
      <c r="G3" s="31"/>
    </row>
    <row r="4" spans="1:7" s="9" customFormat="1" ht="19.5" customHeight="1">
      <c r="A4" s="726" t="s">
        <v>38</v>
      </c>
      <c r="B4" s="727"/>
      <c r="C4" s="727"/>
      <c r="D4" s="727"/>
      <c r="E4" s="727"/>
      <c r="F4" s="728"/>
      <c r="G4" s="31"/>
    </row>
    <row r="5" spans="1:7" s="9" customFormat="1" ht="19.5" customHeight="1">
      <c r="A5" s="729" t="s">
        <v>48</v>
      </c>
      <c r="B5" s="730"/>
      <c r="C5" s="730"/>
      <c r="D5" s="730"/>
      <c r="E5" s="730"/>
      <c r="F5" s="731"/>
      <c r="G5" s="31"/>
    </row>
    <row r="6" spans="1:7" s="10" customFormat="1" ht="19.5" customHeight="1" thickBot="1">
      <c r="A6" s="762"/>
      <c r="B6" s="763"/>
      <c r="C6" s="763"/>
      <c r="D6" s="763"/>
      <c r="E6" s="763"/>
      <c r="F6" s="764"/>
      <c r="G6" s="32"/>
    </row>
    <row r="7" spans="1:16" s="5" customFormat="1" ht="30" customHeight="1" thickBot="1">
      <c r="A7" s="16" t="s">
        <v>1</v>
      </c>
      <c r="B7" s="17" t="s">
        <v>4</v>
      </c>
      <c r="C7" s="18" t="s">
        <v>35</v>
      </c>
      <c r="D7" s="26" t="s">
        <v>6</v>
      </c>
      <c r="E7" s="27" t="s">
        <v>7</v>
      </c>
      <c r="F7" s="28" t="s">
        <v>8</v>
      </c>
      <c r="G7" s="34"/>
      <c r="I7" s="86"/>
      <c r="J7" s="86"/>
      <c r="K7" s="86"/>
      <c r="L7" s="86"/>
      <c r="M7" s="86"/>
      <c r="N7" s="86"/>
      <c r="O7" s="86"/>
      <c r="P7" s="86"/>
    </row>
    <row r="8" spans="1:7" ht="30" customHeight="1" thickBot="1">
      <c r="A8" s="83">
        <v>8</v>
      </c>
      <c r="B8" s="83" t="s">
        <v>42</v>
      </c>
      <c r="C8" s="756">
        <f>SUM(F9:F21)</f>
        <v>37914.94107142857</v>
      </c>
      <c r="D8" s="757"/>
      <c r="E8" s="757"/>
      <c r="F8" s="758"/>
      <c r="G8" s="493" t="s">
        <v>21</v>
      </c>
    </row>
    <row r="9" spans="1:10" ht="30" customHeight="1">
      <c r="A9" s="471" t="s">
        <v>409</v>
      </c>
      <c r="B9" s="101" t="s">
        <v>299</v>
      </c>
      <c r="C9" s="148" t="s">
        <v>9</v>
      </c>
      <c r="D9" s="419">
        <f>732.5</f>
        <v>732.5</v>
      </c>
      <c r="E9" s="148">
        <f>1.25*6.07</f>
        <v>7.5875</v>
      </c>
      <c r="F9" s="190">
        <f>D9*E9</f>
        <v>5557.84375</v>
      </c>
      <c r="G9" s="619" t="s">
        <v>1167</v>
      </c>
      <c r="J9" s="111"/>
    </row>
    <row r="10" spans="1:9" ht="25.5">
      <c r="A10" s="472" t="s">
        <v>410</v>
      </c>
      <c r="B10" s="142" t="s">
        <v>108</v>
      </c>
      <c r="C10" s="420" t="s">
        <v>44</v>
      </c>
      <c r="D10" s="470">
        <f>52/0.07</f>
        <v>742.8571428571428</v>
      </c>
      <c r="E10" s="146">
        <f>1.25*3.76</f>
        <v>4.699999999999999</v>
      </c>
      <c r="F10" s="196">
        <f aca="true" t="shared" si="0" ref="F10:F21">D10*E10</f>
        <v>3491.4285714285706</v>
      </c>
      <c r="G10" s="479" t="s">
        <v>300</v>
      </c>
      <c r="H10" s="111"/>
      <c r="I10" s="111"/>
    </row>
    <row r="11" spans="1:7" ht="38.25">
      <c r="A11" s="472" t="s">
        <v>411</v>
      </c>
      <c r="B11" s="373" t="s">
        <v>294</v>
      </c>
      <c r="C11" s="146" t="s">
        <v>9</v>
      </c>
      <c r="D11" s="150">
        <f>126.5</f>
        <v>126.5</v>
      </c>
      <c r="E11" s="146">
        <f>1.25*9.79</f>
        <v>12.237499999999999</v>
      </c>
      <c r="F11" s="196">
        <f t="shared" si="0"/>
        <v>1548.0437499999998</v>
      </c>
      <c r="G11" s="511" t="s">
        <v>1168</v>
      </c>
    </row>
    <row r="12" spans="1:7" ht="38.25">
      <c r="A12" s="472" t="s">
        <v>412</v>
      </c>
      <c r="B12" s="373" t="s">
        <v>295</v>
      </c>
      <c r="C12" s="146" t="s">
        <v>9</v>
      </c>
      <c r="D12" s="150">
        <v>192</v>
      </c>
      <c r="E12" s="146">
        <f>1.25*9.79</f>
        <v>12.237499999999999</v>
      </c>
      <c r="F12" s="196">
        <f t="shared" si="0"/>
        <v>2349.6</v>
      </c>
      <c r="G12" s="511" t="s">
        <v>1168</v>
      </c>
    </row>
    <row r="13" spans="1:7" ht="38.25">
      <c r="A13" s="472" t="s">
        <v>413</v>
      </c>
      <c r="B13" s="373" t="s">
        <v>296</v>
      </c>
      <c r="C13" s="146" t="s">
        <v>9</v>
      </c>
      <c r="D13" s="150">
        <v>3.5</v>
      </c>
      <c r="E13" s="146">
        <f>1.25*9.79</f>
        <v>12.237499999999999</v>
      </c>
      <c r="F13" s="196">
        <f t="shared" si="0"/>
        <v>42.83125</v>
      </c>
      <c r="G13" s="511" t="s">
        <v>1168</v>
      </c>
    </row>
    <row r="14" spans="1:7" ht="38.25">
      <c r="A14" s="472" t="s">
        <v>414</v>
      </c>
      <c r="B14" s="373" t="s">
        <v>297</v>
      </c>
      <c r="C14" s="146" t="s">
        <v>9</v>
      </c>
      <c r="D14" s="150">
        <v>650</v>
      </c>
      <c r="E14" s="146">
        <f>1.25*9.79</f>
        <v>12.237499999999999</v>
      </c>
      <c r="F14" s="196">
        <f t="shared" si="0"/>
        <v>7954.374999999999</v>
      </c>
      <c r="G14" s="511" t="s">
        <v>1168</v>
      </c>
    </row>
    <row r="15" spans="1:7" ht="38.25">
      <c r="A15" s="472" t="s">
        <v>415</v>
      </c>
      <c r="B15" s="373" t="s">
        <v>298</v>
      </c>
      <c r="C15" s="146" t="s">
        <v>9</v>
      </c>
      <c r="D15" s="150">
        <v>782</v>
      </c>
      <c r="E15" s="146">
        <f>1.25*9.79</f>
        <v>12.237499999999999</v>
      </c>
      <c r="F15" s="196">
        <f t="shared" si="0"/>
        <v>9569.724999999999</v>
      </c>
      <c r="G15" s="511" t="s">
        <v>1168</v>
      </c>
    </row>
    <row r="16" spans="1:7" ht="12.75">
      <c r="A16" s="472" t="s">
        <v>416</v>
      </c>
      <c r="B16" s="369" t="s">
        <v>109</v>
      </c>
      <c r="C16" s="146" t="s">
        <v>9</v>
      </c>
      <c r="D16" s="150">
        <v>1426</v>
      </c>
      <c r="E16" s="146">
        <f>1.25*2.14</f>
        <v>2.6750000000000003</v>
      </c>
      <c r="F16" s="196">
        <f t="shared" si="0"/>
        <v>3814.55</v>
      </c>
      <c r="G16" s="511" t="s">
        <v>1402</v>
      </c>
    </row>
    <row r="17" spans="1:7" ht="12.75">
      <c r="A17" s="472" t="s">
        <v>417</v>
      </c>
      <c r="B17" s="369" t="s">
        <v>110</v>
      </c>
      <c r="C17" s="146" t="s">
        <v>44</v>
      </c>
      <c r="D17" s="150">
        <f>47</f>
        <v>47</v>
      </c>
      <c r="E17" s="146">
        <f>1.25*14.36</f>
        <v>17.95</v>
      </c>
      <c r="F17" s="196">
        <f t="shared" si="0"/>
        <v>843.65</v>
      </c>
      <c r="G17" s="511" t="s">
        <v>1237</v>
      </c>
    </row>
    <row r="18" spans="1:7" ht="25.5">
      <c r="A18" s="472" t="s">
        <v>418</v>
      </c>
      <c r="B18" s="321" t="s">
        <v>111</v>
      </c>
      <c r="C18" s="97" t="s">
        <v>9</v>
      </c>
      <c r="D18" s="150">
        <f>12</f>
        <v>12</v>
      </c>
      <c r="E18" s="146">
        <f>1.25*(22.38+11.44)</f>
        <v>42.275</v>
      </c>
      <c r="F18" s="196">
        <f t="shared" si="0"/>
        <v>507.29999999999995</v>
      </c>
      <c r="G18" s="511" t="s">
        <v>1403</v>
      </c>
    </row>
    <row r="19" spans="1:7" ht="12.75">
      <c r="A19" s="472" t="s">
        <v>419</v>
      </c>
      <c r="B19" s="478" t="s">
        <v>637</v>
      </c>
      <c r="C19" s="97" t="s">
        <v>9</v>
      </c>
      <c r="D19" s="150">
        <v>38.5</v>
      </c>
      <c r="E19" s="146">
        <f>1.25*13.85</f>
        <v>17.3125</v>
      </c>
      <c r="F19" s="196">
        <f t="shared" si="0"/>
        <v>666.53125</v>
      </c>
      <c r="G19" s="511" t="s">
        <v>1400</v>
      </c>
    </row>
    <row r="20" spans="1:7" ht="25.5">
      <c r="A20" s="472" t="s">
        <v>420</v>
      </c>
      <c r="B20" s="369" t="s">
        <v>112</v>
      </c>
      <c r="C20" s="146" t="s">
        <v>9</v>
      </c>
      <c r="D20" s="162">
        <v>22.5</v>
      </c>
      <c r="E20" s="146">
        <f>1.25*8.31</f>
        <v>10.387500000000001</v>
      </c>
      <c r="F20" s="196">
        <f t="shared" si="0"/>
        <v>233.71875000000003</v>
      </c>
      <c r="G20" s="511" t="s">
        <v>1427</v>
      </c>
    </row>
    <row r="21" spans="1:7" ht="26.25" thickBot="1">
      <c r="A21" s="535" t="s">
        <v>421</v>
      </c>
      <c r="B21" s="552" t="s">
        <v>113</v>
      </c>
      <c r="C21" s="538" t="s">
        <v>9</v>
      </c>
      <c r="D21" s="537">
        <v>47.5</v>
      </c>
      <c r="E21" s="538">
        <f>1.25*22.49</f>
        <v>28.112499999999997</v>
      </c>
      <c r="F21" s="539">
        <f t="shared" si="0"/>
        <v>1335.3437499999998</v>
      </c>
      <c r="G21" s="620" t="s">
        <v>1401</v>
      </c>
    </row>
    <row r="22" spans="1:6" ht="30" customHeight="1" thickBot="1">
      <c r="A22" s="753"/>
      <c r="B22" s="754"/>
      <c r="C22" s="754"/>
      <c r="D22" s="754"/>
      <c r="E22" s="754"/>
      <c r="F22" s="755"/>
    </row>
  </sheetData>
  <sheetProtection password="E5F2" sheet="1" objects="1" scenarios="1" selectLockedCells="1" selectUnlockedCells="1"/>
  <mergeCells count="8">
    <mergeCell ref="C8:F8"/>
    <mergeCell ref="A22:F2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2018-07-05T12:04:47Z</cp:lastPrinted>
  <dcterms:created xsi:type="dcterms:W3CDTF">2009-10-09T18:36:29Z</dcterms:created>
  <dcterms:modified xsi:type="dcterms:W3CDTF">2018-07-05T12:15:28Z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